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76" yWindow="65371" windowWidth="9690" windowHeight="7290" activeTab="0"/>
  </bookViews>
  <sheets>
    <sheet name="Paciente" sheetId="1" r:id="rId1"/>
    <sheet name="1-Reanim" sheetId="2" r:id="rId2"/>
    <sheet name="2-Emerg" sheetId="3" r:id="rId3"/>
    <sheet name="3-Otros" sheetId="4" r:id="rId4"/>
  </sheets>
  <definedNames>
    <definedName name="_xlnm.Print_Area" localSheetId="1">'1-Reanim'!$A$1:$S$46</definedName>
    <definedName name="_xlnm.Print_Area" localSheetId="2">'2-Emerg'!$A$1:$Q$57</definedName>
    <definedName name="_xlnm.Print_Area" localSheetId="3">'3-Otros'!$A$1:$V$83</definedName>
    <definedName name="_xlnm.Print_Area" localSheetId="0">'Paciente'!$A$1:$J$57</definedName>
  </definedNames>
  <calcPr fullCalcOnLoad="1"/>
</workbook>
</file>

<file path=xl/comments1.xml><?xml version="1.0" encoding="utf-8"?>
<comments xmlns="http://schemas.openxmlformats.org/spreadsheetml/2006/main">
  <authors>
    <author>J Albert Balaguer S.</author>
  </authors>
  <commentList>
    <comment ref="B2" authorId="0">
      <text>
        <r>
          <rPr>
            <b/>
            <sz val="9"/>
            <rFont val="Geneva"/>
            <family val="0"/>
          </rPr>
          <t xml:space="preserve">                                       </t>
        </r>
        <r>
          <rPr>
            <b/>
            <sz val="12"/>
            <color indexed="18"/>
            <rFont val="Geneva"/>
            <family val="0"/>
          </rPr>
          <t>Neodosis</t>
        </r>
        <r>
          <rPr>
            <sz val="11"/>
            <rFont val="Times New Roman"/>
            <family val="0"/>
          </rPr>
          <t xml:space="preserve">
 </t>
        </r>
        <r>
          <rPr>
            <sz val="11"/>
            <color indexed="18"/>
            <rFont val="Times New Roman"/>
            <family val="1"/>
          </rPr>
          <t xml:space="preserve">Última revisión: 03/2001
 Si tienes sugerencias o descubres algún error, por favor, </t>
        </r>
        <r>
          <rPr>
            <sz val="11"/>
            <color indexed="18"/>
            <rFont val="Times New Roman"/>
            <family val="1"/>
          </rPr>
          <t>comunícalo.
 Muchas gracias
 J Albert Balaguer S.
 abalaguer@grupsgs.com
 jabs@fmcs.urv.es</t>
        </r>
        <r>
          <rPr>
            <sz val="9"/>
            <rFont val="Geneva"/>
            <family val="0"/>
          </rPr>
          <t xml:space="preserve">
</t>
        </r>
        <r>
          <rPr>
            <sz val="9"/>
            <color indexed="12"/>
            <rFont val="Geneva"/>
            <family val="0"/>
          </rPr>
          <t xml:space="preserve"> Universitat Rovira i Virgili</t>
        </r>
      </text>
    </comment>
  </commentList>
</comments>
</file>

<file path=xl/comments2.xml><?xml version="1.0" encoding="utf-8"?>
<comments xmlns="http://schemas.openxmlformats.org/spreadsheetml/2006/main">
  <authors>
    <author>J Albert Balaguer S.</author>
  </authors>
  <commentList>
    <comment ref="B1" authorId="0">
      <text>
        <r>
          <rPr>
            <b/>
            <sz val="9"/>
            <rFont val="Geneva"/>
            <family val="0"/>
          </rPr>
          <t xml:space="preserve">     </t>
        </r>
        <r>
          <rPr>
            <b/>
            <sz val="10"/>
            <rFont val="Geneva"/>
            <family val="0"/>
          </rPr>
          <t xml:space="preserve">    Neodosis                         </t>
        </r>
        <r>
          <rPr>
            <sz val="11"/>
            <rFont val="Times New Roman"/>
            <family val="0"/>
          </rPr>
          <t>Última revisión: 3/2001
Si tienes comentarios, sugerencias o localizas algún error, te agradeceré que me lo comuniques.
¡Muchas gracias!
J Albert Balaguer S.
abalaguer@grupsgs.com
jabs@fmcs.urv.es</t>
        </r>
        <r>
          <rPr>
            <sz val="9"/>
            <rFont val="Geneva"/>
            <family val="0"/>
          </rPr>
          <t xml:space="preserve">
</t>
        </r>
      </text>
    </comment>
  </commentList>
</comments>
</file>

<file path=xl/sharedStrings.xml><?xml version="1.0" encoding="utf-8"?>
<sst xmlns="http://schemas.openxmlformats.org/spreadsheetml/2006/main" count="573" uniqueCount="365">
  <si>
    <t xml:space="preserve">Dosificación calculada </t>
  </si>
  <si>
    <t xml:space="preserve">Dosis inicial de carga   </t>
  </si>
  <si>
    <r>
      <t xml:space="preserve">Observacions y precauciones. </t>
    </r>
    <r>
      <rPr>
        <b/>
        <i/>
        <sz val="9"/>
        <color indexed="9"/>
        <rFont val="Arial"/>
        <family val="0"/>
      </rPr>
      <t xml:space="preserve">   </t>
    </r>
  </si>
  <si>
    <t xml:space="preserve">   Infundir</t>
  </si>
  <si>
    <t xml:space="preserve">Esta hoja es sólo una guia orientativa. Verificar siempre cada dosis. </t>
  </si>
  <si>
    <t xml:space="preserve"> Indometacina 1 mg polvo</t>
  </si>
  <si>
    <t xml:space="preserve">DDT:  </t>
  </si>
  <si>
    <t xml:space="preserve"> Digitalización endovenosa</t>
  </si>
  <si>
    <t>Preparación de dilución</t>
  </si>
  <si>
    <t>(Dosis de Digitalización Total)</t>
  </si>
  <si>
    <t xml:space="preserve"> (cm. a introducir)</t>
  </si>
  <si>
    <r>
      <t>Mantenimiento:</t>
    </r>
    <r>
      <rPr>
        <sz val="8"/>
        <rFont val="Arial"/>
        <family val="0"/>
      </rPr>
      <t xml:space="preserve"> 1/8 DDT  cada 12 hr</t>
    </r>
  </si>
  <si>
    <t xml:space="preserve">En meningitis:   = dosis / 6 hr. </t>
  </si>
  <si>
    <t xml:space="preserve">2,5 mg/kg/dosis </t>
  </si>
  <si>
    <t>5 mg/kg/ 24 hr</t>
  </si>
  <si>
    <t>100 - 200 mg/kg  de glucosa  (lento)</t>
  </si>
  <si>
    <t>2 ml + 3 ml SF (ojo: no en SG) =&gt; 20 mg/ml</t>
  </si>
  <si>
    <r>
      <t xml:space="preserve">50 -150 mcg/kg  </t>
    </r>
    <r>
      <rPr>
        <sz val="7"/>
        <rFont val="Arial"/>
        <family val="2"/>
      </rPr>
      <t xml:space="preserve"> [=0.05 - 0.15 mg/Kg] </t>
    </r>
    <r>
      <rPr>
        <sz val="8"/>
        <rFont val="Arial"/>
        <family val="0"/>
      </rPr>
      <t xml:space="preserve"> lento</t>
    </r>
  </si>
  <si>
    <t xml:space="preserve">Idem    "        "        "      "  </t>
  </si>
  <si>
    <r>
      <t xml:space="preserve">0.01- 0.03 mg/kg  </t>
    </r>
    <r>
      <rPr>
        <sz val="7"/>
        <rFont val="Arial"/>
        <family val="0"/>
      </rPr>
      <t>(hasta 0.1 mg/Kg  s/a.)</t>
    </r>
  </si>
  <si>
    <t xml:space="preserve">                                  (12,5 mg/ml)</t>
  </si>
  <si>
    <t>ml ----&gt;</t>
  </si>
  <si>
    <t xml:space="preserve">Alprostadil           [=0,5 mg/ml]        </t>
  </si>
  <si>
    <t>Fentanil  0,15 mg/ 3 ml</t>
  </si>
  <si>
    <r>
      <t xml:space="preserve">100 mcg/Kg  </t>
    </r>
    <r>
      <rPr>
        <sz val="8"/>
        <rFont val="Arial"/>
        <family val="0"/>
      </rPr>
      <t>[=0.1 mg/Kg]</t>
    </r>
  </si>
  <si>
    <t>Adrenalina 1:1000   1 mg/ml</t>
  </si>
  <si>
    <t>Bicarbonato Sódico 1 mEq /ml</t>
  </si>
  <si>
    <t>Atropina 1 mg/ml</t>
  </si>
  <si>
    <t>Dopamina 200 mg/ 10 ml</t>
  </si>
  <si>
    <r>
      <t xml:space="preserve">Vecuronio </t>
    </r>
    <r>
      <rPr>
        <i/>
        <sz val="8"/>
        <rFont val="Arial"/>
        <family val="2"/>
      </rPr>
      <t xml:space="preserve">10 mg pol.+ 5 ml H20 </t>
    </r>
    <r>
      <rPr>
        <i/>
        <sz val="7"/>
        <rFont val="Arial"/>
        <family val="2"/>
      </rPr>
      <t xml:space="preserve">(Norcurom)  </t>
    </r>
    <r>
      <rPr>
        <i/>
        <sz val="9"/>
        <rFont val="Arial"/>
        <family val="2"/>
      </rPr>
      <t xml:space="preserve">  </t>
    </r>
    <r>
      <rPr>
        <sz val="9"/>
        <rFont val="Arial"/>
        <family val="2"/>
      </rPr>
      <t>ev</t>
    </r>
  </si>
  <si>
    <t>mínim: 0,1 mg</t>
  </si>
  <si>
    <r>
      <t xml:space="preserve">Midazolam 5 mg/ 5 ml </t>
    </r>
    <r>
      <rPr>
        <i/>
        <sz val="8"/>
        <rFont val="Arial"/>
        <family val="0"/>
      </rPr>
      <t>[=1000 mcg/ml]</t>
    </r>
  </si>
  <si>
    <t>Procedimientos</t>
  </si>
  <si>
    <t xml:space="preserve">    Líquidos  ev  para  24 hr :</t>
  </si>
  <si>
    <t>4 ml/kg</t>
  </si>
  <si>
    <t>2,5 ml/kg</t>
  </si>
  <si>
    <t xml:space="preserve">Precaución: purgar sistema con dilución y esperar unos 20 min a empezar infusión.   Preferible en via exclusiva. </t>
  </si>
  <si>
    <t>DPM</t>
  </si>
  <si>
    <t>Imipenem</t>
  </si>
  <si>
    <t>Eritromicina</t>
  </si>
  <si>
    <t>Ceftazidima</t>
  </si>
  <si>
    <t>Aciclovir</t>
  </si>
  <si>
    <t>Antimicrobianos</t>
  </si>
  <si>
    <t>Metronidazol</t>
  </si>
  <si>
    <t>Gentamicina</t>
  </si>
  <si>
    <t>Tobramicina</t>
  </si>
  <si>
    <t>Amikacina</t>
  </si>
  <si>
    <t>Diluir en SG y pasar lento bajo monitorización</t>
  </si>
  <si>
    <t>Diluir en SG y pasar lento bajo monitoriz.</t>
  </si>
  <si>
    <t>Calcio Gluconato 10%   9.3 mg [=0.46 mEq] /ml</t>
  </si>
  <si>
    <t>0.1 ml/hr = 0.2 mcg/kg/min</t>
  </si>
  <si>
    <t>Valor orientativo para punta de cateter en posición alta</t>
  </si>
  <si>
    <t>Valor orientativo para punta cerca de aurícula derecha</t>
  </si>
  <si>
    <r>
      <t xml:space="preserve">Mtº: 1 - 3 mg/kg/12 hr </t>
    </r>
    <r>
      <rPr>
        <sz val="7"/>
        <rFont val="Arial"/>
        <family val="0"/>
      </rPr>
      <t xml:space="preserve"> ( &gt; de 55 sem EPM puede requerir &gt; dosis)</t>
    </r>
  </si>
  <si>
    <t>Palivizumab (Synagis)</t>
  </si>
  <si>
    <t>pasar lento (+/- 1 hr)</t>
  </si>
  <si>
    <r>
      <t>Neodosis.</t>
    </r>
    <r>
      <rPr>
        <sz val="9"/>
        <color indexed="32"/>
        <rFont val="Arial"/>
        <family val="2"/>
      </rPr>
      <t xml:space="preserve"> Calculador de dosis y procedimientos neonatales</t>
    </r>
  </si>
  <si>
    <r>
      <t>Esta hoja es sólo una guia orientativa.</t>
    </r>
    <r>
      <rPr>
        <sz val="8"/>
        <color indexed="18"/>
        <rFont val="Arial"/>
        <family val="2"/>
      </rPr>
      <t xml:space="preserve"> Verificar siempre cada dosis.</t>
    </r>
  </si>
  <si>
    <t>Aconsejable infusión lenta en +/- 30 min. Vigilancia renal y ototoxicidad</t>
  </si>
  <si>
    <t>Pasar diluido en +/- 1 hr. La sal de lactobionato contiene alcohol bencílico</t>
  </si>
  <si>
    <t>dosis mensual  (en temporada epidémica de VRS)</t>
  </si>
  <si>
    <r>
      <t xml:space="preserve">0.1 mg/Kg         ó </t>
    </r>
    <r>
      <rPr>
        <sz val="7"/>
        <rFont val="Arial"/>
        <family val="2"/>
      </rPr>
      <t xml:space="preserve"> (4 mcg/kg/hr    s/a.)</t>
    </r>
  </si>
  <si>
    <t>Carga: 10 - 20 mg/Kg  (en 10 -15 min.)</t>
  </si>
  <si>
    <t>Mtº 1.5 - 2.5  mg/kg/12 hr  (lento)</t>
  </si>
  <si>
    <t xml:space="preserve">  Inicio (primer día).        Seguir a:  ---&gt;</t>
  </si>
  <si>
    <t>Antifúngicos</t>
  </si>
  <si>
    <t>0.05 - 0.2 mg/Kg (lento: &gt; 5 min.)</t>
  </si>
  <si>
    <t>0.01 - 0.02 mg/Kg (dosi mínima: 0.1 mg)</t>
  </si>
  <si>
    <t>Adr.: 1 ml + 9 ml SF =&gt; 0.1 mg/ ml</t>
  </si>
  <si>
    <t>0.01 - 0.1 UI/Kg/hr</t>
  </si>
  <si>
    <t>0.1 ml/hr = 10 mcg/kg/hr</t>
  </si>
  <si>
    <t xml:space="preserve"> Diluyente</t>
  </si>
  <si>
    <t xml:space="preserve">Milrinona 1 mg/ml  </t>
  </si>
  <si>
    <t>Dosis carga: 50 mcg/Kg</t>
  </si>
  <si>
    <t xml:space="preserve"> (Dosis carga: 50 mcg/Kg)</t>
  </si>
  <si>
    <t>Id.</t>
  </si>
  <si>
    <t>No penetra a SNC. Vigilancia gastrointestinal.</t>
  </si>
  <si>
    <t>Vigilancia gastrointestinal.</t>
  </si>
  <si>
    <t xml:space="preserve">Irritante: infusión lenta +/- 1 hr.  Nefro y ototox. Numerosas incompatibilidades. </t>
  </si>
  <si>
    <t xml:space="preserve"> Para el cálculo de la DDT se debe especificar la Edad Postmenstrual  (EPM)</t>
  </si>
  <si>
    <t>Otros farmacos ev</t>
  </si>
  <si>
    <r>
      <t xml:space="preserve">1 - 5 </t>
    </r>
    <r>
      <rPr>
        <sz val="8"/>
        <rFont val="Arial"/>
        <family val="2"/>
      </rPr>
      <t>mcg/kg/hr</t>
    </r>
    <r>
      <rPr>
        <sz val="9"/>
        <rFont val="Arial"/>
        <family val="2"/>
      </rPr>
      <t xml:space="preserve"> </t>
    </r>
  </si>
  <si>
    <t>Inicio a 100 mcg/kg/hr</t>
  </si>
  <si>
    <t xml:space="preserve">  Mtº: 10 - 15 mcg/kg/hr </t>
  </si>
  <si>
    <r>
      <t>Midazolam</t>
    </r>
    <r>
      <rPr>
        <i/>
        <sz val="9"/>
        <rFont val="Arial"/>
        <family val="2"/>
      </rPr>
      <t xml:space="preserve">  5 mg/ 5 ml  [= 1 mg/ml]</t>
    </r>
  </si>
  <si>
    <r>
      <t>ml de la Dilución**</t>
    </r>
    <r>
      <rPr>
        <sz val="8"/>
        <color indexed="16"/>
        <rFont val="Arial"/>
        <family val="2"/>
      </rPr>
      <t xml:space="preserve"> en H2O ó SF.</t>
    </r>
    <r>
      <rPr>
        <b/>
        <sz val="8"/>
        <color indexed="16"/>
        <rFont val="Arial"/>
        <family val="2"/>
      </rPr>
      <t xml:space="preserve"> hasta 100 ml</t>
    </r>
  </si>
  <si>
    <t>Rango de dosis recomendada</t>
  </si>
  <si>
    <t>Vía</t>
  </si>
  <si>
    <t>D. Calculada</t>
  </si>
  <si>
    <r>
      <t xml:space="preserve">     Inicio: 2.5 ml/kg  (1ª dosis en 2 alícuotas)</t>
    </r>
    <r>
      <rPr>
        <sz val="8"/>
        <rFont val="Arial"/>
        <family val="2"/>
      </rPr>
      <t xml:space="preserve">   •Repetible (a 1.25 ml/kg) una ó 2 veces más /12 hr</t>
    </r>
  </si>
  <si>
    <t xml:space="preserve">D. Calculada   </t>
  </si>
  <si>
    <t>Dosis acumul. Máxima</t>
  </si>
  <si>
    <t>mg /kg</t>
  </si>
  <si>
    <t>pasar lento en 2-6 hr</t>
  </si>
  <si>
    <t>1 ml + 9 ml SF =&gt; 300 mcg/ml</t>
  </si>
  <si>
    <r>
      <t>Adenosina</t>
    </r>
    <r>
      <rPr>
        <i/>
        <sz val="9"/>
        <rFont val="Arial"/>
        <family val="2"/>
      </rPr>
      <t xml:space="preserve"> </t>
    </r>
    <r>
      <rPr>
        <i/>
        <sz val="8"/>
        <rFont val="Arial"/>
        <family val="2"/>
      </rPr>
      <t xml:space="preserve">6 mg/ 2 ml </t>
    </r>
    <r>
      <rPr>
        <i/>
        <sz val="7"/>
        <rFont val="Arial"/>
        <family val="2"/>
      </rPr>
      <t xml:space="preserve"> [=3000 mcg/ml] </t>
    </r>
    <r>
      <rPr>
        <i/>
        <sz val="8"/>
        <rFont val="Arial"/>
        <family val="2"/>
      </rPr>
      <t>(Adenocor)</t>
    </r>
  </si>
  <si>
    <t>inicio: 50 mcg/kg   (rápido: 1-2 seg)</t>
  </si>
  <si>
    <t>Farmacos Intubación y afines</t>
  </si>
  <si>
    <t>0.1 ml/hr = 0.05 mcg/kg/min</t>
  </si>
  <si>
    <t>2 mg/kg</t>
  </si>
  <si>
    <t>100 mg/kg</t>
  </si>
  <si>
    <r>
      <t xml:space="preserve">1 - 2 mEq/kg  </t>
    </r>
    <r>
      <rPr>
        <sz val="8"/>
        <rFont val="Arial"/>
        <family val="0"/>
      </rPr>
      <t>(lento &gt; 2 -5 min.)</t>
    </r>
  </si>
  <si>
    <t>Fenobarbital 200 mg/ml</t>
  </si>
  <si>
    <t>Fenitoina 250 mg/ 5 ml</t>
  </si>
  <si>
    <t xml:space="preserve">    Dosis </t>
  </si>
  <si>
    <t xml:space="preserve">        Puede repetirse a  5 mg/kg  en c. refractarias</t>
  </si>
  <si>
    <t>Carga:  15-20 mg/Kg (lento: &gt; 30 min)</t>
  </si>
  <si>
    <t>Expansores  (pe. SF ó RL)</t>
  </si>
  <si>
    <t>mg /24 hr  (Mantenimiento)</t>
  </si>
  <si>
    <t>jabs. 2000</t>
  </si>
  <si>
    <t>2.5 - 20 mcg/kg/min</t>
  </si>
  <si>
    <t>5 - 25 mcg/kg/min</t>
  </si>
  <si>
    <t>0.05 - 0.5 mcg/kg/min</t>
  </si>
  <si>
    <t>0.1 - 1  mcg/kg/min</t>
  </si>
  <si>
    <t>0.1 ml/hr = 0.1 mcg/kg/min</t>
  </si>
  <si>
    <r>
      <t>Neodosis.</t>
    </r>
    <r>
      <rPr>
        <sz val="24"/>
        <color indexed="32"/>
        <rFont val="Arial"/>
        <family val="0"/>
      </rPr>
      <t xml:space="preserve"> </t>
    </r>
  </si>
  <si>
    <t>0.2 ml/hr = 5 mcg/kg/min</t>
  </si>
  <si>
    <t>en SF. ó SG. hasta 25 ml</t>
  </si>
  <si>
    <t>Rango dosis recomendada</t>
  </si>
  <si>
    <t>Preparación de la dilución</t>
  </si>
  <si>
    <t xml:space="preserve">  Infundir</t>
  </si>
  <si>
    <t>Morfina 10 mg/ml</t>
  </si>
  <si>
    <t>ev/IM/SC</t>
  </si>
  <si>
    <t>Peso:</t>
  </si>
  <si>
    <t>kg</t>
  </si>
  <si>
    <r>
      <t>Succinil-Col.[Suxametonio]</t>
    </r>
    <r>
      <rPr>
        <i/>
        <sz val="7"/>
        <rFont val="Arial"/>
        <family val="0"/>
      </rPr>
      <t xml:space="preserve"> (Anectine) 100 mg/ 2ml    ev</t>
    </r>
  </si>
  <si>
    <t xml:space="preserve">Esta hoja es sólo una guia orientativa. Verificar siempre cada dosis.   </t>
  </si>
  <si>
    <t>Intervalo</t>
  </si>
  <si>
    <t xml:space="preserve"> /  8 hr</t>
  </si>
  <si>
    <t xml:space="preserve"> (producto activo ± 19.5 mg/ml)</t>
  </si>
  <si>
    <t xml:space="preserve">1ª dosis: 1/2 DDT. </t>
  </si>
  <si>
    <t>Ampicilina</t>
  </si>
  <si>
    <t xml:space="preserve">Prostaglandina PGE2   10 mcg/ml </t>
  </si>
  <si>
    <t xml:space="preserve">Flolan            [=0,01 mg/ml]        </t>
  </si>
  <si>
    <t>5 - 15 nanog/kg/min</t>
  </si>
  <si>
    <t>0.2 ml/hr = 5 nanog/kg/min</t>
  </si>
  <si>
    <t>0.3 - 1  mcg/kg/min</t>
  </si>
  <si>
    <t>0.2 ml/hr = 0.3 mcg/kg/min</t>
  </si>
  <si>
    <t>Llenar los recuadros en gris</t>
  </si>
  <si>
    <t>Nombre Paciente:</t>
  </si>
  <si>
    <t>1 ml/hr = 10 mcg/kg/min</t>
  </si>
  <si>
    <t>en SG. ó SF. hasta 25 ml</t>
  </si>
  <si>
    <t xml:space="preserve">      Dosis </t>
  </si>
  <si>
    <t>ml/hr</t>
  </si>
  <si>
    <t>ml/24hr</t>
  </si>
  <si>
    <t>UI</t>
  </si>
  <si>
    <t>En meningitis:  dosis x 2</t>
  </si>
  <si>
    <t>En meningitis: dosis x 2</t>
  </si>
  <si>
    <t>En meningitis:  dosis x 1,5</t>
  </si>
  <si>
    <t>No penetra a SNC</t>
  </si>
  <si>
    <t>No penetra a SNC. Escasa experiencia en neonatos</t>
  </si>
  <si>
    <t xml:space="preserve">50 mg/kg/dosis </t>
  </si>
  <si>
    <t xml:space="preserve">30 mg/kg/dosis </t>
  </si>
  <si>
    <t xml:space="preserve">20 mg/kg/dosis </t>
  </si>
  <si>
    <t>En meningitis:  dosis x 2.  Escasa experiencia en nn.</t>
  </si>
  <si>
    <t xml:space="preserve">10 mg/kg/dosis </t>
  </si>
  <si>
    <t xml:space="preserve">5 mg/kg/dosis </t>
  </si>
  <si>
    <t xml:space="preserve">En meningo-encefalitis = dosis / 6 hr </t>
  </si>
  <si>
    <t>(ml)</t>
  </si>
  <si>
    <t>1 ml/hr = 5 mcg/kg/min</t>
  </si>
  <si>
    <t>mcg</t>
  </si>
  <si>
    <t>2 mcg/kg</t>
  </si>
  <si>
    <t>ev/IM/rect</t>
  </si>
  <si>
    <t>ev/rect</t>
  </si>
  <si>
    <t>0,2 mg/kg</t>
  </si>
  <si>
    <t>ev/IM/ET</t>
  </si>
  <si>
    <r>
      <t xml:space="preserve">1 - 4 mcg/kg </t>
    </r>
    <r>
      <rPr>
        <sz val="8"/>
        <rFont val="Arial"/>
        <family val="2"/>
      </rPr>
      <t xml:space="preserve"> (lento)  hasta 50 mcg/kg s/a.</t>
    </r>
  </si>
  <si>
    <r>
      <t xml:space="preserve">10 - 60 mcg/kg/hr </t>
    </r>
    <r>
      <rPr>
        <sz val="7"/>
        <rFont val="Arial"/>
        <family val="2"/>
      </rPr>
      <t xml:space="preserve"> [=0,16 - 1 mcg/kg/min] </t>
    </r>
    <r>
      <rPr>
        <sz val="8"/>
        <rFont val="Arial"/>
        <family val="2"/>
      </rPr>
      <t xml:space="preserve"> </t>
    </r>
  </si>
  <si>
    <t>repetible / 2 min  a dosis &gt;</t>
  </si>
  <si>
    <t>(incrementos de 50 mcg/kg )  hasta máxima dosis: 250 mcg/kg</t>
  </si>
  <si>
    <t>Carga: 4 - 6 mg/Kg en 30 min.</t>
  </si>
  <si>
    <t>5 mg/Kg</t>
  </si>
  <si>
    <t>Precaución posibles convulsiones</t>
  </si>
  <si>
    <t>0,1 mg/kg</t>
  </si>
  <si>
    <t>Atención a numerosas imcompatibilidades</t>
  </si>
  <si>
    <t>SG. 10%</t>
  </si>
  <si>
    <t>Aporte  glucosa (SG 10%)</t>
  </si>
  <si>
    <t xml:space="preserve">Cateter Umbilical Arterial: </t>
  </si>
  <si>
    <t>mgr/Kg/min:</t>
  </si>
  <si>
    <t>Fecha de hoy:</t>
  </si>
  <si>
    <t>0.1 - 0.4 mg/kg</t>
  </si>
  <si>
    <t>Diazepam 10 mg/ 2ml</t>
  </si>
  <si>
    <t xml:space="preserve"> Preparación de dilución</t>
  </si>
  <si>
    <t xml:space="preserve">   Dosis </t>
  </si>
  <si>
    <t>Ranitidina</t>
  </si>
  <si>
    <t>Teof. 1 ml +  4 ml SF =&gt;  5 mg/ml</t>
  </si>
  <si>
    <t>ml*</t>
  </si>
  <si>
    <t>ml* de la dilución previa</t>
  </si>
  <si>
    <t>30-36 sem</t>
  </si>
  <si>
    <t>/ 24 hr</t>
  </si>
  <si>
    <t>/ 12 hr</t>
  </si>
  <si>
    <t>/  12 hr</t>
  </si>
  <si>
    <t xml:space="preserve"> [=</t>
  </si>
  <si>
    <t>ml ]</t>
  </si>
  <si>
    <t xml:space="preserve">15 mg/kg/dosis </t>
  </si>
  <si>
    <t>Convencional</t>
  </si>
  <si>
    <t>Liposomal</t>
  </si>
  <si>
    <t>1 ml + 9 ml SF.,  =&gt; 20 mg/ml</t>
  </si>
  <si>
    <t>ml</t>
  </si>
  <si>
    <t>mg</t>
  </si>
  <si>
    <t>0,1 mg/Kg</t>
  </si>
  <si>
    <t>Fentanilo 0,15 mg/ 3 ml</t>
  </si>
  <si>
    <t>ev</t>
  </si>
  <si>
    <t>1 ml + 1ml diluyente,  =&gt; 0.5 mg/ml</t>
  </si>
  <si>
    <t>0.1 ml/hr = 2.5 mcg/kg/min</t>
  </si>
  <si>
    <t>en SG. ó SF. hasta 50 ml</t>
  </si>
  <si>
    <t>Intubación traqueal</t>
  </si>
  <si>
    <t>Diámetro Tubo</t>
  </si>
  <si>
    <t>R</t>
  </si>
  <si>
    <t>R-</t>
  </si>
  <si>
    <t>R+</t>
  </si>
  <si>
    <t>M</t>
  </si>
  <si>
    <t xml:space="preserve">  Incremento día</t>
  </si>
  <si>
    <r>
      <t>Teofilina</t>
    </r>
    <r>
      <rPr>
        <i/>
        <sz val="8"/>
        <rFont val="Arial"/>
        <family val="0"/>
      </rPr>
      <t xml:space="preserve"> [Aminofilina]  25 mg/ml</t>
    </r>
  </si>
  <si>
    <r>
      <t xml:space="preserve">2ª dosis </t>
    </r>
    <r>
      <rPr>
        <sz val="8"/>
        <rFont val="Arial"/>
        <family val="0"/>
      </rPr>
      <t>(a las 8 hr)</t>
    </r>
    <r>
      <rPr>
        <sz val="9"/>
        <rFont val="Arial"/>
        <family val="0"/>
      </rPr>
      <t>: 1/4 DDT</t>
    </r>
  </si>
  <si>
    <r>
      <t xml:space="preserve">3ª dosis </t>
    </r>
    <r>
      <rPr>
        <sz val="8"/>
        <rFont val="Arial"/>
        <family val="0"/>
      </rPr>
      <t>(a las 8 hr)</t>
    </r>
    <r>
      <rPr>
        <sz val="9"/>
        <rFont val="Arial"/>
        <family val="0"/>
      </rPr>
      <t>: 1/4 DDT</t>
    </r>
  </si>
  <si>
    <t>TOT  (Oral)  Cm.:</t>
  </si>
  <si>
    <t>TNT  (nasal)    Cm.:</t>
  </si>
  <si>
    <t xml:space="preserve">Clonazepam 1 mg/ml </t>
  </si>
  <si>
    <t xml:space="preserve">Noradrenalina 1 mg/ml </t>
  </si>
  <si>
    <t xml:space="preserve">Isoproterenol 0.2 mg/ml </t>
  </si>
  <si>
    <t>Dosis fármaco</t>
  </si>
  <si>
    <t xml:space="preserve">     Dosis </t>
  </si>
  <si>
    <t>0.1 - 0.3 mg/kg</t>
  </si>
  <si>
    <t>0,01 mg/kg</t>
  </si>
  <si>
    <t>ET</t>
  </si>
  <si>
    <t>mEq</t>
  </si>
  <si>
    <t>1 mEq/kg</t>
  </si>
  <si>
    <t>Naloxona 0.4 mg/ml</t>
  </si>
  <si>
    <t xml:space="preserve">25000 UI/kg/dosis </t>
  </si>
  <si>
    <t xml:space="preserve">25 mg/kg/dosis </t>
  </si>
  <si>
    <t xml:space="preserve">75 mg/kg/dosis </t>
  </si>
  <si>
    <t>1:(&lt;2kg &lt;7d)// 2:(&lt;2kg  &gt;=7d)// 3: (&gt;=2Kg &lt;7d)// 4:(&gt;=2K &gt;=7d)</t>
  </si>
  <si>
    <t xml:space="preserve">   Dosis máxima diaria</t>
  </si>
  <si>
    <t xml:space="preserve">  Observaciones</t>
  </si>
  <si>
    <t>&gt; 48 sem</t>
  </si>
  <si>
    <t xml:space="preserve">     &lt; 30 sem</t>
  </si>
  <si>
    <t xml:space="preserve">                                            [=1000 mcg/ml] </t>
  </si>
  <si>
    <t>1 - 3 mg/Kg</t>
  </si>
  <si>
    <t xml:space="preserve">En meningitis:   = dosis / 12 hr.  Vigilancia Bil. y Vit K      </t>
  </si>
  <si>
    <t>Cafeina citrato  20 mg/ml</t>
  </si>
  <si>
    <t>Dosis Digitalización Total (DDT)</t>
  </si>
  <si>
    <t xml:space="preserve">Prevención hemorragia peri-intraventricular </t>
  </si>
  <si>
    <t>Cierre ductus: ………..</t>
  </si>
  <si>
    <t>1ª dosis …...……..….</t>
  </si>
  <si>
    <t>Infusión muy lenta * …………………….</t>
  </si>
  <si>
    <t>2ª dosis …...……..….</t>
  </si>
  <si>
    <t>3ª dosis …...……..….</t>
  </si>
  <si>
    <r>
      <t>0.01- 0.03 mg/kg</t>
    </r>
    <r>
      <rPr>
        <sz val="8"/>
        <rFont val="Arial"/>
        <family val="0"/>
      </rPr>
      <t xml:space="preserve">  (repetible /3-5 min)</t>
    </r>
  </si>
  <si>
    <r>
      <t xml:space="preserve">10 - 20 ml/Kg </t>
    </r>
    <r>
      <rPr>
        <sz val="8"/>
        <rFont val="Arial"/>
        <family val="0"/>
      </rPr>
      <t xml:space="preserve"> (lento &gt; 10 min)</t>
    </r>
  </si>
  <si>
    <t>10 ml/kg</t>
  </si>
  <si>
    <t>ev/ET/IM</t>
  </si>
  <si>
    <t>Mtº 4 - 8 mg/kg/24 hr (lento)</t>
  </si>
  <si>
    <t>Farmacos reanimación y afines</t>
  </si>
  <si>
    <t>Insulina (regular, rápida) 100 UI /ml</t>
  </si>
  <si>
    <r>
      <t xml:space="preserve">  Mtº: ir disminuyendo hasta mínimo:</t>
    </r>
    <r>
      <rPr>
        <sz val="7"/>
        <rFont val="Arial"/>
        <family val="2"/>
      </rPr>
      <t xml:space="preserve"> 0.01 mcg/kg/min</t>
    </r>
  </si>
  <si>
    <r>
      <t xml:space="preserve">Prostaglandina PGE1  </t>
    </r>
    <r>
      <rPr>
        <i/>
        <sz val="8"/>
        <rFont val="Arial"/>
        <family val="2"/>
      </rPr>
      <t xml:space="preserve">500 mcg/ml </t>
    </r>
  </si>
  <si>
    <t>Br. Pancuronio 4 mg/ 2ml  (Pavulon)</t>
  </si>
  <si>
    <t>0.03 mg/kg</t>
  </si>
  <si>
    <t>PGE1</t>
  </si>
  <si>
    <t>PGE2</t>
  </si>
  <si>
    <t>MLR</t>
  </si>
  <si>
    <t>FNT</t>
  </si>
  <si>
    <t>MRF</t>
  </si>
  <si>
    <t>MDZ</t>
  </si>
  <si>
    <r>
      <t>Dilución** previa:</t>
    </r>
    <r>
      <rPr>
        <sz val="8"/>
        <color indexed="16"/>
        <rFont val="Arial"/>
        <family val="2"/>
      </rPr>
      <t xml:space="preserve"> 1 ml de insulina + 9 ml SF  =&gt; 10 UI /ml ---&gt;</t>
    </r>
  </si>
  <si>
    <t xml:space="preserve"> Fármaco</t>
  </si>
  <si>
    <t>Inicio a 0.05 - 0.1 mcg/kg/min</t>
  </si>
  <si>
    <t>0.1 ml/hr = 0.01 mcg/kg/min</t>
  </si>
  <si>
    <t>DBT</t>
  </si>
  <si>
    <t>ADR</t>
  </si>
  <si>
    <t>NADR</t>
  </si>
  <si>
    <t>ISO</t>
  </si>
  <si>
    <t>Calcio Cloruro 10%  27 mg [=1.36 mEq] /ml</t>
  </si>
  <si>
    <r>
      <t xml:space="preserve">     4 ml/kg   (dividir cada dosis en 4 alícuotas) </t>
    </r>
    <r>
      <rPr>
        <sz val="8"/>
        <rFont val="Arial"/>
        <family val="2"/>
      </rPr>
      <t xml:space="preserve">  •Repetible hasta 3 veces más en 1as  48 hr</t>
    </r>
  </si>
  <si>
    <t>Expansor</t>
  </si>
  <si>
    <t xml:space="preserve"> :</t>
  </si>
  <si>
    <t>Clave</t>
  </si>
  <si>
    <t>clave</t>
  </si>
  <si>
    <t>Penicilina G</t>
  </si>
  <si>
    <t>Cloxacilina</t>
  </si>
  <si>
    <t>Ticarcilina</t>
  </si>
  <si>
    <t>Piperacilina</t>
  </si>
  <si>
    <t>Aztreonam</t>
  </si>
  <si>
    <t>Cefalotina</t>
  </si>
  <si>
    <t>Cefazolina</t>
  </si>
  <si>
    <t>Cefuroxima</t>
  </si>
  <si>
    <t>Cefoxitina</t>
  </si>
  <si>
    <t>Ceftriaxona</t>
  </si>
  <si>
    <t>Cefotaxima</t>
  </si>
  <si>
    <t>Clindamicina</t>
  </si>
  <si>
    <t xml:space="preserve">          (hasta 6 mcg/kg/min  s/a.)</t>
  </si>
  <si>
    <t>Calculador de dosis y procedimientos neonatales</t>
  </si>
  <si>
    <r>
      <t>Neodosis.</t>
    </r>
    <r>
      <rPr>
        <sz val="12"/>
        <color indexed="32"/>
        <rFont val="Arial"/>
        <family val="0"/>
      </rPr>
      <t xml:space="preserve"> </t>
    </r>
    <r>
      <rPr>
        <sz val="11"/>
        <color indexed="32"/>
        <rFont val="Arial"/>
        <family val="0"/>
      </rPr>
      <t>Calculador de dosis y procedimientos  neonatales</t>
    </r>
  </si>
  <si>
    <t>Bic.: 5 ml + 5 ml H2O  =&gt;   0.5 mEq/ml</t>
  </si>
  <si>
    <t>Nalox.: sin diluir  =&gt; 0.4 mg/ml</t>
  </si>
  <si>
    <t>SG 10%: sin diluir =&gt;  100 mg/ml</t>
  </si>
  <si>
    <t>Fent.: 1 ml + 9 ml SF   =&gt; 5 mcg/ml</t>
  </si>
  <si>
    <t>Midaz.: 3 ml + 3 ml SF   =&gt; 0 5 mg/ml</t>
  </si>
  <si>
    <t>Diaz.: 2 ml + 8 ml SF   =&gt; 1 mg/ml</t>
  </si>
  <si>
    <t>Atrop.: 1 ml + 4  ml SF   =&gt; 0.2 mg/ml</t>
  </si>
  <si>
    <t>Succ.: 2 ml +  8 ml SF   =&gt; 10 mg/ml</t>
  </si>
  <si>
    <t>Panc.: 1 ml + 4 ml SF   =&gt; 0.4 mg/ml</t>
  </si>
  <si>
    <t>Vecur.: 1 ml + 3 ml H2O  =&gt; 0.5 mg/ml</t>
  </si>
  <si>
    <t>Morf.: 0.5 ml + 9.5 ml SF  =&gt; 0.5 mg/ml</t>
  </si>
  <si>
    <t>0.1 ml/hr = 0.01 UI/kg/hr</t>
  </si>
  <si>
    <t>Survanta</t>
  </si>
  <si>
    <t xml:space="preserve">Curosurf </t>
  </si>
  <si>
    <t xml:space="preserve">      100 mg/Kg</t>
  </si>
  <si>
    <t xml:space="preserve">CaGluc </t>
  </si>
  <si>
    <t>35 mg/Kg</t>
  </si>
  <si>
    <t xml:space="preserve">CaCl </t>
  </si>
  <si>
    <t xml:space="preserve"> 50 mcg/kg</t>
  </si>
  <si>
    <t>ADNS</t>
  </si>
  <si>
    <t xml:space="preserve"> 20 mg/kg</t>
  </si>
  <si>
    <t>FNBT</t>
  </si>
  <si>
    <t>15 mg/kg</t>
  </si>
  <si>
    <t>FNTN</t>
  </si>
  <si>
    <t xml:space="preserve"> 0.1 mg/kg</t>
  </si>
  <si>
    <t>CLZP</t>
  </si>
  <si>
    <r>
      <t>Neodosis.</t>
    </r>
    <r>
      <rPr>
        <sz val="12"/>
        <color indexed="32"/>
        <rFont val="Arial"/>
        <family val="2"/>
      </rPr>
      <t xml:space="preserve"> </t>
    </r>
    <r>
      <rPr>
        <sz val="11"/>
        <color indexed="32"/>
        <rFont val="Arial"/>
        <family val="2"/>
      </rPr>
      <t>Calculador de dosis y procedimientos neonatales</t>
    </r>
  </si>
  <si>
    <t xml:space="preserve">Cateter Umbilical Venoso: </t>
  </si>
  <si>
    <t>Vancomicina</t>
  </si>
  <si>
    <t>Anfotericina B</t>
  </si>
  <si>
    <t>Teicoplanina</t>
  </si>
  <si>
    <r>
      <t xml:space="preserve">Dobutamina 250 mg/ 20 ml </t>
    </r>
    <r>
      <rPr>
        <i/>
        <sz val="9"/>
        <rFont val="Arial"/>
        <family val="2"/>
      </rPr>
      <t xml:space="preserve"> </t>
    </r>
  </si>
  <si>
    <t>37-48 sem</t>
  </si>
  <si>
    <r>
      <t xml:space="preserve">                      </t>
    </r>
    <r>
      <rPr>
        <sz val="8"/>
        <rFont val="Arial"/>
        <family val="2"/>
      </rPr>
      <t xml:space="preserve"> (hasta 40 mg/kg  s/a.)</t>
    </r>
    <r>
      <rPr>
        <sz val="7"/>
        <rFont val="Arial"/>
        <family val="2"/>
      </rPr>
      <t xml:space="preserve"> </t>
    </r>
  </si>
  <si>
    <r>
      <t xml:space="preserve">100 - 200 mg/Kg </t>
    </r>
    <r>
      <rPr>
        <sz val="8"/>
        <rFont val="Arial"/>
        <family val="2"/>
      </rPr>
      <t xml:space="preserve"> (en 10-30 min)</t>
    </r>
  </si>
  <si>
    <r>
      <t xml:space="preserve">35 - 70 mg/Kg  </t>
    </r>
    <r>
      <rPr>
        <sz val="8"/>
        <rFont val="Arial"/>
        <family val="2"/>
      </rPr>
      <t>(en 10-30 min)</t>
    </r>
  </si>
  <si>
    <t>0.1 mg/kg/24hr (3 dosis: empezar entre 6-12 hr de vida).</t>
  </si>
  <si>
    <t>Inicio</t>
  </si>
  <si>
    <t>-</t>
  </si>
  <si>
    <t>mg/kg/24 hr</t>
  </si>
  <si>
    <t xml:space="preserve">ml/kg/d </t>
  </si>
  <si>
    <t xml:space="preserve">Introducir datos &gt;&gt; </t>
  </si>
  <si>
    <t>%</t>
  </si>
  <si>
    <t xml:space="preserve"> Suero Glucosado al 10%</t>
  </si>
  <si>
    <t xml:space="preserve"> Cálculo  de otro S Glucosado:</t>
  </si>
  <si>
    <t xml:space="preserve">        Infusión lo más lenta posible (en horas si se puede)</t>
  </si>
  <si>
    <r>
      <t>Digoxina</t>
    </r>
    <r>
      <rPr>
        <b/>
        <i/>
        <sz val="8"/>
        <rFont val="Arial"/>
        <family val="0"/>
      </rPr>
      <t xml:space="preserve"> </t>
    </r>
    <r>
      <rPr>
        <i/>
        <sz val="8"/>
        <rFont val="Arial"/>
        <family val="2"/>
      </rPr>
      <t xml:space="preserve">Lanacordin 0.250 mg/ml [=250 mcg/ml] </t>
    </r>
    <r>
      <rPr>
        <i/>
        <sz val="9"/>
        <rFont val="Arial"/>
        <family val="2"/>
      </rPr>
      <t xml:space="preserve">  </t>
    </r>
  </si>
  <si>
    <r>
      <t xml:space="preserve">   *Dilución previa: </t>
    </r>
    <r>
      <rPr>
        <sz val="8"/>
        <color indexed="16"/>
        <rFont val="Arial"/>
        <family val="2"/>
      </rPr>
      <t>1 ml + 9 ml SG =&gt; 25 mcg/ml</t>
    </r>
  </si>
  <si>
    <t>Nefrotoxicidad (R)</t>
  </si>
  <si>
    <t xml:space="preserve">Medir niveles (M)     </t>
  </si>
  <si>
    <t>Fármacos  infusión contínua ev</t>
  </si>
  <si>
    <t xml:space="preserve">  Preparación  de  la  dilución  </t>
  </si>
  <si>
    <r>
      <t xml:space="preserve">· </t>
    </r>
    <r>
      <rPr>
        <b/>
        <sz val="8"/>
        <rFont val="Arial"/>
        <family val="0"/>
      </rPr>
      <t>Indicación:</t>
    </r>
  </si>
  <si>
    <t>· Indicación:</t>
  </si>
  <si>
    <t xml:space="preserve"> EPM:</t>
  </si>
  <si>
    <t xml:space="preserve">ml/kg/d    </t>
  </si>
  <si>
    <t>Ranitidina  10 mg/ml</t>
  </si>
  <si>
    <t>0,5 mg/Kg</t>
  </si>
  <si>
    <t>0,5 mg/Kg ev. lento cada 6 hr.</t>
  </si>
  <si>
    <t xml:space="preserve">    Diluir en 2 ml de H2O ó SF =&gt; 0.5 mg/ml</t>
  </si>
  <si>
    <t xml:space="preserve">   dosis inicio</t>
  </si>
  <si>
    <t xml:space="preserve">                       [ l ml = 0.05 mg = 50 mcgr]    </t>
  </si>
  <si>
    <t xml:space="preserve">7,5 -15    "     "  </t>
  </si>
  <si>
    <t xml:space="preserve">7,5 -10    "     "  </t>
  </si>
  <si>
    <t xml:space="preserve">10 -15    "     "  </t>
  </si>
  <si>
    <t>10 mg/Kg</t>
  </si>
  <si>
    <r>
      <t xml:space="preserve">Mtº: 2.5 - 8 mg/kg/24 hr </t>
    </r>
    <r>
      <rPr>
        <sz val="7"/>
        <rFont val="Arial"/>
        <family val="0"/>
      </rPr>
      <t xml:space="preserve"> (empezar a las 24 h. de dosis de carga)</t>
    </r>
  </si>
  <si>
    <t>Carga: 10 - 20 - 40 mg/Kg en 30 min. (Caf. Citrato)</t>
  </si>
  <si>
    <t xml:space="preserve">Una vez introducido el peso, pulsar "enter". </t>
  </si>
  <si>
    <t>A continuación pulsar en las solapas inferiores (1-Reanimación, 2-Emergencias o 3-Otros).</t>
  </si>
  <si>
    <t>Gonzalez Perez, RN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</si>
</sst>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Pts&quot;;\-#,##0&quot;Pts&quot;"/>
    <numFmt numFmtId="189" formatCode="#,##0&quot;Pts&quot;;[Red]\-#,##0&quot;Pts&quot;"/>
    <numFmt numFmtId="190" formatCode="#,##0.00&quot;Pts&quot;;\-#,##0.00&quot;Pts&quot;"/>
    <numFmt numFmtId="191" formatCode="#,##0.00&quot;Pts&quot;;[Red]\-#,##0.00&quot;Pts&quot;"/>
    <numFmt numFmtId="192" formatCode="_-* #,##0&quot;Pts&quot;_-;\-* #,##0&quot;Pts&quot;_-;_-* &quot;-&quot;&quot;Pts&quot;_-;_-@_-"/>
    <numFmt numFmtId="193" formatCode="_-* #,##0_P_t_s_-;\-* #,##0_P_t_s_-;_-* &quot;-&quot;_P_t_s_-;_-@_-"/>
    <numFmt numFmtId="194" formatCode="_-* #,##0.00&quot;Pts&quot;_-;\-* #,##0.00&quot;Pts&quot;_-;_-* &quot;-&quot;??&quot;Pts&quot;_-;_-@_-"/>
    <numFmt numFmtId="195" formatCode="_-* #,##0.00_P_t_s_-;\-* #,##0.00_P_t_s_-;_-* &quot;-&quot;??_P_t_s_-;_-@_-"/>
    <numFmt numFmtId="196" formatCode="0.0"/>
    <numFmt numFmtId="197" formatCode="0.000"/>
    <numFmt numFmtId="198" formatCode="00000"/>
    <numFmt numFmtId="199" formatCode="0.00000"/>
    <numFmt numFmtId="200" formatCode="0.0000"/>
    <numFmt numFmtId="201" formatCode="0.0000000"/>
    <numFmt numFmtId="202" formatCode="0.000000"/>
    <numFmt numFmtId="203" formatCode="d/m/yy"/>
  </numFmts>
  <fonts count="95">
    <font>
      <sz val="9"/>
      <name val="Geneva"/>
      <family val="0"/>
    </font>
    <font>
      <b/>
      <sz val="9"/>
      <name val="Geneva"/>
      <family val="0"/>
    </font>
    <font>
      <i/>
      <sz val="9"/>
      <name val="Geneva"/>
      <family val="0"/>
    </font>
    <font>
      <b/>
      <i/>
      <sz val="9"/>
      <name val="Geneva"/>
      <family val="0"/>
    </font>
    <font>
      <sz val="12"/>
      <color indexed="32"/>
      <name val="Arial"/>
      <family val="0"/>
    </font>
    <font>
      <sz val="10"/>
      <color indexed="32"/>
      <name val="Arial"/>
      <family val="0"/>
    </font>
    <font>
      <sz val="8"/>
      <color indexed="32"/>
      <name val="Arial"/>
      <family val="0"/>
    </font>
    <font>
      <sz val="12"/>
      <color indexed="18"/>
      <name val="Arial"/>
      <family val="0"/>
    </font>
    <font>
      <b/>
      <sz val="10"/>
      <color indexed="32"/>
      <name val="Arial"/>
      <family val="2"/>
    </font>
    <font>
      <sz val="9"/>
      <name val="Arial"/>
      <family val="0"/>
    </font>
    <font>
      <b/>
      <sz val="12"/>
      <color indexed="32"/>
      <name val="Arial"/>
      <family val="0"/>
    </font>
    <font>
      <b/>
      <sz val="10"/>
      <name val="Arial"/>
      <family val="2"/>
    </font>
    <font>
      <b/>
      <sz val="10"/>
      <color indexed="16"/>
      <name val="Arial"/>
      <family val="0"/>
    </font>
    <font>
      <sz val="8"/>
      <name val="Arial"/>
      <family val="2"/>
    </font>
    <font>
      <sz val="10"/>
      <color indexed="16"/>
      <name val="Arial"/>
      <family val="0"/>
    </font>
    <font>
      <b/>
      <sz val="12"/>
      <name val="Arial"/>
      <family val="0"/>
    </font>
    <font>
      <sz val="10"/>
      <name val="Times New Roman"/>
      <family val="0"/>
    </font>
    <font>
      <sz val="8"/>
      <color indexed="32"/>
      <name val="Times New Roman"/>
      <family val="1"/>
    </font>
    <font>
      <sz val="9"/>
      <color indexed="32"/>
      <name val="Times New Roman"/>
      <family val="0"/>
    </font>
    <font>
      <sz val="8"/>
      <color indexed="16"/>
      <name val="Arial"/>
      <family val="0"/>
    </font>
    <font>
      <sz val="9"/>
      <color indexed="16"/>
      <name val="Arial"/>
      <family val="0"/>
    </font>
    <font>
      <b/>
      <sz val="9"/>
      <name val="Arial"/>
      <family val="0"/>
    </font>
    <font>
      <b/>
      <i/>
      <sz val="10"/>
      <color indexed="9"/>
      <name val="Arial"/>
      <family val="2"/>
    </font>
    <font>
      <sz val="10"/>
      <color indexed="9"/>
      <name val="Arial"/>
      <family val="2"/>
    </font>
    <font>
      <b/>
      <i/>
      <sz val="10"/>
      <color indexed="58"/>
      <name val="Arial"/>
      <family val="0"/>
    </font>
    <font>
      <b/>
      <i/>
      <sz val="9"/>
      <color indexed="9"/>
      <name val="Arial"/>
      <family val="0"/>
    </font>
    <font>
      <i/>
      <sz val="8"/>
      <color indexed="9"/>
      <name val="Arial"/>
      <family val="2"/>
    </font>
    <font>
      <b/>
      <sz val="10"/>
      <color indexed="9"/>
      <name val="Arial"/>
      <family val="2"/>
    </font>
    <font>
      <sz val="9"/>
      <color indexed="9"/>
      <name val="Arial"/>
      <family val="2"/>
    </font>
    <font>
      <i/>
      <sz val="10"/>
      <name val="Arial"/>
      <family val="2"/>
    </font>
    <font>
      <b/>
      <sz val="9"/>
      <color indexed="16"/>
      <name val="Arial"/>
      <family val="0"/>
    </font>
    <font>
      <sz val="7"/>
      <name val="Arial"/>
      <family val="0"/>
    </font>
    <font>
      <sz val="9"/>
      <color indexed="10"/>
      <name val="Arial"/>
      <family val="2"/>
    </font>
    <font>
      <sz val="10"/>
      <name val="Arial"/>
      <family val="0"/>
    </font>
    <font>
      <b/>
      <sz val="11"/>
      <color indexed="16"/>
      <name val="Arial"/>
      <family val="0"/>
    </font>
    <font>
      <b/>
      <sz val="12"/>
      <color indexed="16"/>
      <name val="Arial"/>
      <family val="0"/>
    </font>
    <font>
      <sz val="10"/>
      <color indexed="18"/>
      <name val="Arial"/>
      <family val="0"/>
    </font>
    <font>
      <i/>
      <sz val="9"/>
      <name val="Arial"/>
      <family val="0"/>
    </font>
    <font>
      <i/>
      <sz val="8"/>
      <name val="Arial"/>
      <family val="0"/>
    </font>
    <font>
      <sz val="11"/>
      <name val="Times New Roman"/>
      <family val="0"/>
    </font>
    <font>
      <sz val="10"/>
      <name val="Geneva"/>
      <family val="0"/>
    </font>
    <font>
      <i/>
      <sz val="7"/>
      <name val="Arial"/>
      <family val="0"/>
    </font>
    <font>
      <sz val="11"/>
      <color indexed="32"/>
      <name val="Arial"/>
      <family val="0"/>
    </font>
    <font>
      <b/>
      <sz val="8"/>
      <color indexed="16"/>
      <name val="Arial"/>
      <family val="2"/>
    </font>
    <font>
      <i/>
      <sz val="9"/>
      <color indexed="9"/>
      <name val="Arial"/>
      <family val="2"/>
    </font>
    <font>
      <sz val="7"/>
      <color indexed="18"/>
      <name val="Arial"/>
      <family val="2"/>
    </font>
    <font>
      <sz val="9"/>
      <color indexed="18"/>
      <name val="Arial"/>
      <family val="2"/>
    </font>
    <font>
      <b/>
      <sz val="24"/>
      <color indexed="32"/>
      <name val="Arial"/>
      <family val="0"/>
    </font>
    <font>
      <sz val="24"/>
      <color indexed="32"/>
      <name val="Arial"/>
      <family val="0"/>
    </font>
    <font>
      <b/>
      <sz val="11"/>
      <color indexed="18"/>
      <name val="Arial"/>
      <family val="0"/>
    </font>
    <font>
      <sz val="12"/>
      <name val="Arial"/>
      <family val="0"/>
    </font>
    <font>
      <sz val="18"/>
      <color indexed="18"/>
      <name val="Arial"/>
      <family val="0"/>
    </font>
    <font>
      <b/>
      <sz val="10"/>
      <name val="Geneva"/>
      <family val="0"/>
    </font>
    <font>
      <b/>
      <sz val="12"/>
      <color indexed="18"/>
      <name val="Arial"/>
      <family val="2"/>
    </font>
    <font>
      <b/>
      <sz val="10"/>
      <color indexed="60"/>
      <name val="Arial"/>
      <family val="2"/>
    </font>
    <font>
      <b/>
      <sz val="9"/>
      <color indexed="9"/>
      <name val="Arial"/>
      <family val="2"/>
    </font>
    <font>
      <b/>
      <i/>
      <sz val="8"/>
      <color indexed="9"/>
      <name val="Arial"/>
      <family val="2"/>
    </font>
    <font>
      <i/>
      <sz val="10"/>
      <color indexed="9"/>
      <name val="Arial"/>
      <family val="2"/>
    </font>
    <font>
      <b/>
      <sz val="11"/>
      <name val="Arial"/>
      <family val="2"/>
    </font>
    <font>
      <b/>
      <i/>
      <sz val="8"/>
      <color indexed="17"/>
      <name val="Arial"/>
      <family val="0"/>
    </font>
    <font>
      <sz val="8"/>
      <color indexed="51"/>
      <name val="Arial"/>
      <family val="0"/>
    </font>
    <font>
      <sz val="12"/>
      <color indexed="16"/>
      <name val="Arial"/>
      <family val="0"/>
    </font>
    <font>
      <sz val="11"/>
      <color indexed="16"/>
      <name val="Arial"/>
      <family val="0"/>
    </font>
    <font>
      <b/>
      <i/>
      <sz val="8"/>
      <color indexed="16"/>
      <name val="Arial"/>
      <family val="0"/>
    </font>
    <font>
      <b/>
      <sz val="8"/>
      <name val="Arial"/>
      <family val="0"/>
    </font>
    <font>
      <sz val="8"/>
      <color indexed="9"/>
      <name val="Arial"/>
      <family val="0"/>
    </font>
    <font>
      <sz val="8"/>
      <color indexed="18"/>
      <name val="Arial"/>
      <family val="2"/>
    </font>
    <font>
      <b/>
      <sz val="10"/>
      <color indexed="18"/>
      <name val="Times New Roman"/>
      <family val="1"/>
    </font>
    <font>
      <sz val="10"/>
      <color indexed="18"/>
      <name val="Times New Roman"/>
      <family val="1"/>
    </font>
    <font>
      <sz val="9"/>
      <color indexed="18"/>
      <name val="Times New Roman"/>
      <family val="1"/>
    </font>
    <font>
      <sz val="8"/>
      <color indexed="18"/>
      <name val="Times New Roman"/>
      <family val="1"/>
    </font>
    <font>
      <sz val="10"/>
      <color indexed="10"/>
      <name val="Arial"/>
      <family val="2"/>
    </font>
    <font>
      <sz val="9"/>
      <color indexed="18"/>
      <name val="Geneva"/>
      <family val="0"/>
    </font>
    <font>
      <sz val="11"/>
      <color indexed="18"/>
      <name val="Times New Roman"/>
      <family val="1"/>
    </font>
    <font>
      <b/>
      <sz val="12"/>
      <color indexed="18"/>
      <name val="Geneva"/>
      <family val="0"/>
    </font>
    <font>
      <sz val="9"/>
      <color indexed="32"/>
      <name val="Arial"/>
      <family val="2"/>
    </font>
    <font>
      <b/>
      <sz val="8"/>
      <color indexed="18"/>
      <name val="Arial"/>
      <family val="2"/>
    </font>
    <font>
      <b/>
      <sz val="9"/>
      <color indexed="18"/>
      <name val="Times New Roman"/>
      <family val="1"/>
    </font>
    <font>
      <sz val="11"/>
      <color indexed="60"/>
      <name val="Arial"/>
      <family val="2"/>
    </font>
    <font>
      <sz val="9"/>
      <color indexed="44"/>
      <name val="Arial"/>
      <family val="2"/>
    </font>
    <font>
      <sz val="9"/>
      <color indexed="42"/>
      <name val="Arial"/>
      <family val="2"/>
    </font>
    <font>
      <sz val="9"/>
      <color indexed="12"/>
      <name val="Geneva"/>
      <family val="0"/>
    </font>
    <font>
      <sz val="9"/>
      <color indexed="9"/>
      <name val="Geneva"/>
      <family val="0"/>
    </font>
    <font>
      <b/>
      <i/>
      <sz val="8"/>
      <color indexed="59"/>
      <name val="Arial"/>
      <family val="0"/>
    </font>
    <font>
      <sz val="7"/>
      <color indexed="18"/>
      <name val="Times New Roman"/>
      <family val="1"/>
    </font>
    <font>
      <b/>
      <sz val="8"/>
      <color indexed="9"/>
      <name val="Arial"/>
      <family val="0"/>
    </font>
    <font>
      <b/>
      <i/>
      <sz val="8"/>
      <name val="Arial"/>
      <family val="0"/>
    </font>
    <font>
      <sz val="11"/>
      <name val="Arial"/>
      <family val="2"/>
    </font>
    <font>
      <b/>
      <i/>
      <sz val="7"/>
      <color indexed="9"/>
      <name val="Arial"/>
      <family val="2"/>
    </font>
    <font>
      <sz val="7"/>
      <color indexed="9"/>
      <name val="Arial"/>
      <family val="2"/>
    </font>
    <font>
      <sz val="8"/>
      <color indexed="10"/>
      <name val="Arial"/>
      <family val="2"/>
    </font>
    <font>
      <sz val="10"/>
      <color indexed="42"/>
      <name val="Arial"/>
      <family val="2"/>
    </font>
    <font>
      <sz val="16"/>
      <color indexed="18"/>
      <name val="Arial"/>
      <family val="2"/>
    </font>
    <font>
      <b/>
      <sz val="10"/>
      <color indexed="18"/>
      <name val="Arial"/>
      <family val="2"/>
    </font>
    <font>
      <b/>
      <sz val="8"/>
      <name val="Geneva"/>
      <family val="2"/>
    </font>
  </fonts>
  <fills count="13">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59"/>
        <bgColor indexed="64"/>
      </patternFill>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58"/>
        <bgColor indexed="64"/>
      </patternFill>
    </fill>
    <fill>
      <patternFill patternType="solid">
        <fgColor indexed="59"/>
        <bgColor indexed="64"/>
      </patternFill>
    </fill>
    <fill>
      <patternFill patternType="solid">
        <fgColor indexed="22"/>
        <bgColor indexed="64"/>
      </patternFill>
    </fill>
  </fills>
  <borders count="32">
    <border>
      <left/>
      <right/>
      <top/>
      <bottom/>
      <diagonal/>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color indexed="16"/>
      </left>
      <right style="hair">
        <color indexed="16"/>
      </right>
      <top style="hair">
        <color indexed="16"/>
      </top>
      <bottom style="hair">
        <color indexed="16"/>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color indexed="63"/>
      </top>
      <bottom style="hair"/>
    </border>
    <border>
      <left style="hair"/>
      <right style="hair"/>
      <top style="hair"/>
      <bottom>
        <color indexed="63"/>
      </bottom>
    </border>
    <border>
      <left style="thin">
        <color indexed="18"/>
      </left>
      <right style="thin">
        <color indexed="18"/>
      </right>
      <top style="thin">
        <color indexed="18"/>
      </top>
      <bottom style="thin">
        <color indexed="18"/>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783">
    <xf numFmtId="0" fontId="0" fillId="0" borderId="0" xfId="0" applyAlignment="1">
      <alignment/>
    </xf>
    <xf numFmtId="0" fontId="9" fillId="2" borderId="0" xfId="0" applyFont="1" applyFill="1" applyAlignment="1" applyProtection="1">
      <alignment/>
      <protection hidden="1"/>
    </xf>
    <xf numFmtId="0" fontId="33" fillId="2" borderId="0" xfId="0" applyFont="1" applyFill="1" applyAlignment="1" applyProtection="1">
      <alignment/>
      <protection hidden="1"/>
    </xf>
    <xf numFmtId="0" fontId="47" fillId="2" borderId="0" xfId="0" applyFont="1" applyFill="1" applyBorder="1" applyAlignment="1" applyProtection="1">
      <alignment horizontal="left"/>
      <protection hidden="1"/>
    </xf>
    <xf numFmtId="0" fontId="51" fillId="2" borderId="0" xfId="0" applyFont="1" applyFill="1" applyAlignment="1" applyProtection="1">
      <alignment/>
      <protection hidden="1"/>
    </xf>
    <xf numFmtId="0" fontId="9" fillId="2" borderId="0" xfId="0" applyFont="1" applyFill="1" applyAlignment="1" applyProtection="1">
      <alignment horizontal="right"/>
      <protection hidden="1"/>
    </xf>
    <xf numFmtId="0" fontId="33" fillId="2" borderId="0" xfId="0" applyFont="1" applyFill="1" applyAlignment="1" applyProtection="1">
      <alignment horizontal="right"/>
      <protection hidden="1"/>
    </xf>
    <xf numFmtId="0" fontId="50" fillId="2" borderId="0" xfId="0" applyFont="1" applyFill="1" applyAlignment="1" applyProtection="1">
      <alignment horizontal="right"/>
      <protection hidden="1"/>
    </xf>
    <xf numFmtId="0" fontId="36" fillId="2" borderId="0" xfId="0" applyFont="1" applyFill="1" applyAlignment="1" applyProtection="1">
      <alignment/>
      <protection hidden="1"/>
    </xf>
    <xf numFmtId="0" fontId="20" fillId="2" borderId="0" xfId="0" applyFont="1" applyFill="1" applyAlignment="1" applyProtection="1">
      <alignment/>
      <protection hidden="1"/>
    </xf>
    <xf numFmtId="0" fontId="35" fillId="2" borderId="0" xfId="0" applyFont="1" applyFill="1" applyAlignment="1" applyProtection="1">
      <alignment horizontal="center"/>
      <protection hidden="1"/>
    </xf>
    <xf numFmtId="0" fontId="0" fillId="0" borderId="0" xfId="0" applyBorder="1" applyAlignment="1" applyProtection="1">
      <alignment/>
      <protection hidden="1"/>
    </xf>
    <xf numFmtId="0" fontId="9" fillId="0" borderId="0" xfId="0" applyFont="1" applyAlignment="1" applyProtection="1">
      <alignment/>
      <protection hidden="1"/>
    </xf>
    <xf numFmtId="0" fontId="0" fillId="0" borderId="0" xfId="0" applyAlignment="1" applyProtection="1">
      <alignment/>
      <protection hidden="1"/>
    </xf>
    <xf numFmtId="0" fontId="13" fillId="0" borderId="0" xfId="0" applyFont="1" applyAlignment="1" applyProtection="1">
      <alignment/>
      <protection hidden="1"/>
    </xf>
    <xf numFmtId="0" fontId="23" fillId="0" borderId="0" xfId="0" applyFont="1" applyFill="1" applyBorder="1" applyAlignment="1" applyProtection="1">
      <alignment/>
      <protection hidden="1"/>
    </xf>
    <xf numFmtId="0" fontId="29" fillId="0" borderId="1" xfId="0" applyFont="1" applyBorder="1" applyAlignment="1" applyProtection="1">
      <alignment/>
      <protection hidden="1"/>
    </xf>
    <xf numFmtId="0" fontId="13" fillId="0" borderId="2" xfId="0" applyFont="1" applyBorder="1" applyAlignment="1" applyProtection="1">
      <alignment/>
      <protection hidden="1"/>
    </xf>
    <xf numFmtId="0" fontId="29" fillId="0" borderId="3" xfId="0" applyFont="1" applyBorder="1" applyAlignment="1" applyProtection="1">
      <alignment/>
      <protection hidden="1"/>
    </xf>
    <xf numFmtId="0" fontId="13" fillId="0" borderId="4" xfId="0" applyFont="1" applyBorder="1" applyAlignment="1" applyProtection="1">
      <alignment/>
      <protection hidden="1"/>
    </xf>
    <xf numFmtId="0" fontId="9" fillId="0" borderId="0" xfId="0" applyFont="1" applyBorder="1" applyAlignment="1" applyProtection="1">
      <alignment/>
      <protection hidden="1"/>
    </xf>
    <xf numFmtId="0" fontId="29" fillId="0" borderId="5" xfId="0" applyFont="1" applyBorder="1" applyAlignment="1" applyProtection="1">
      <alignment/>
      <protection hidden="1"/>
    </xf>
    <xf numFmtId="0" fontId="9" fillId="0" borderId="6" xfId="0" applyFont="1" applyBorder="1" applyAlignment="1" applyProtection="1">
      <alignment/>
      <protection hidden="1"/>
    </xf>
    <xf numFmtId="0" fontId="13" fillId="0" borderId="6" xfId="0" applyFont="1" applyBorder="1" applyAlignment="1" applyProtection="1">
      <alignment/>
      <protection hidden="1"/>
    </xf>
    <xf numFmtId="0" fontId="13" fillId="0" borderId="6" xfId="0" applyFont="1" applyBorder="1" applyAlignment="1" applyProtection="1">
      <alignment horizontal="left"/>
      <protection hidden="1"/>
    </xf>
    <xf numFmtId="0" fontId="9" fillId="0" borderId="4" xfId="0" applyFont="1" applyBorder="1" applyAlignment="1" applyProtection="1">
      <alignment/>
      <protection hidden="1"/>
    </xf>
    <xf numFmtId="0" fontId="13" fillId="0" borderId="4" xfId="0" applyFont="1" applyBorder="1" applyAlignment="1" applyProtection="1">
      <alignment horizontal="left"/>
      <protection hidden="1"/>
    </xf>
    <xf numFmtId="0" fontId="13" fillId="0" borderId="0" xfId="0" applyFont="1" applyBorder="1" applyAlignment="1" applyProtection="1">
      <alignment horizontal="left"/>
      <protection hidden="1"/>
    </xf>
    <xf numFmtId="0" fontId="13" fillId="0" borderId="0" xfId="0" applyFont="1" applyBorder="1" applyAlignment="1" applyProtection="1">
      <alignment/>
      <protection hidden="1"/>
    </xf>
    <xf numFmtId="0" fontId="25" fillId="0" borderId="7"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8" xfId="0" applyFont="1" applyFill="1" applyBorder="1" applyAlignment="1" applyProtection="1">
      <alignment/>
      <protection hidden="1"/>
    </xf>
    <xf numFmtId="2" fontId="13" fillId="0" borderId="8" xfId="0" applyNumberFormat="1" applyFont="1" applyFill="1" applyBorder="1" applyAlignment="1" applyProtection="1">
      <alignment horizontal="right"/>
      <protection hidden="1"/>
    </xf>
    <xf numFmtId="0" fontId="20" fillId="0" borderId="0" xfId="0" applyFont="1" applyBorder="1" applyAlignment="1" applyProtection="1">
      <alignment/>
      <protection hidden="1"/>
    </xf>
    <xf numFmtId="0" fontId="13" fillId="0" borderId="0" xfId="0" applyFont="1" applyFill="1" applyBorder="1" applyAlignment="1" applyProtection="1">
      <alignment/>
      <protection hidden="1"/>
    </xf>
    <xf numFmtId="0" fontId="23" fillId="0" borderId="8" xfId="0" applyFont="1" applyFill="1" applyBorder="1" applyAlignment="1" applyProtection="1">
      <alignment/>
      <protection hidden="1"/>
    </xf>
    <xf numFmtId="0" fontId="13" fillId="0" borderId="1" xfId="0" applyFont="1" applyBorder="1" applyAlignment="1" applyProtection="1">
      <alignment/>
      <protection hidden="1"/>
    </xf>
    <xf numFmtId="0" fontId="19" fillId="0" borderId="0" xfId="0" applyFont="1" applyBorder="1" applyAlignment="1" applyProtection="1">
      <alignment horizontal="left"/>
      <protection hidden="1"/>
    </xf>
    <xf numFmtId="0" fontId="9" fillId="0" borderId="0" xfId="0" applyFont="1" applyBorder="1" applyAlignment="1" applyProtection="1">
      <alignment/>
      <protection hidden="1"/>
    </xf>
    <xf numFmtId="0" fontId="20" fillId="0" borderId="2" xfId="0" applyFont="1" applyBorder="1" applyAlignment="1" applyProtection="1">
      <alignment horizontal="left"/>
      <protection hidden="1"/>
    </xf>
    <xf numFmtId="0" fontId="15" fillId="2" borderId="0" xfId="0" applyFont="1" applyFill="1" applyAlignment="1" applyProtection="1">
      <alignment/>
      <protection hidden="1"/>
    </xf>
    <xf numFmtId="0" fontId="34" fillId="2" borderId="0" xfId="0" applyFont="1" applyFill="1" applyAlignment="1" applyProtection="1">
      <alignment horizontal="left"/>
      <protection hidden="1"/>
    </xf>
    <xf numFmtId="1" fontId="54" fillId="2" borderId="0" xfId="0" applyNumberFormat="1" applyFont="1" applyFill="1" applyAlignment="1" applyProtection="1">
      <alignment horizontal="right"/>
      <protection hidden="1"/>
    </xf>
    <xf numFmtId="0" fontId="20" fillId="0" borderId="6" xfId="0" applyFont="1" applyBorder="1" applyAlignment="1" applyProtection="1">
      <alignment horizontal="left"/>
      <protection hidden="1"/>
    </xf>
    <xf numFmtId="196" fontId="30" fillId="0" borderId="5" xfId="0" applyNumberFormat="1" applyFont="1" applyBorder="1" applyAlignment="1" applyProtection="1">
      <alignment/>
      <protection hidden="1"/>
    </xf>
    <xf numFmtId="196" fontId="30" fillId="0" borderId="5" xfId="0" applyNumberFormat="1" applyFont="1" applyBorder="1" applyAlignment="1" applyProtection="1">
      <alignment horizontal="right"/>
      <protection hidden="1"/>
    </xf>
    <xf numFmtId="0" fontId="20" fillId="0" borderId="4" xfId="0" applyFont="1" applyBorder="1" applyAlignment="1" applyProtection="1">
      <alignment horizontal="left"/>
      <protection hidden="1"/>
    </xf>
    <xf numFmtId="196" fontId="30" fillId="0" borderId="7" xfId="0" applyNumberFormat="1" applyFont="1" applyBorder="1" applyAlignment="1" applyProtection="1">
      <alignment horizontal="right"/>
      <protection hidden="1"/>
    </xf>
    <xf numFmtId="0" fontId="20" fillId="0" borderId="0" xfId="0" applyFont="1" applyBorder="1" applyAlignment="1" applyProtection="1">
      <alignment horizontal="left"/>
      <protection hidden="1"/>
    </xf>
    <xf numFmtId="196" fontId="30" fillId="0" borderId="7" xfId="0" applyNumberFormat="1" applyFont="1" applyBorder="1" applyAlignment="1" applyProtection="1">
      <alignment/>
      <protection hidden="1"/>
    </xf>
    <xf numFmtId="196" fontId="30" fillId="0" borderId="3" xfId="0" applyNumberFormat="1" applyFont="1" applyBorder="1" applyAlignment="1" applyProtection="1">
      <alignment horizontal="right"/>
      <protection hidden="1"/>
    </xf>
    <xf numFmtId="2" fontId="30" fillId="0" borderId="1" xfId="0" applyNumberFormat="1" applyFont="1" applyBorder="1" applyAlignment="1" applyProtection="1">
      <alignment/>
      <protection hidden="1"/>
    </xf>
    <xf numFmtId="0" fontId="13" fillId="0" borderId="2" xfId="0" applyFont="1" applyBorder="1" applyAlignment="1" applyProtection="1">
      <alignment horizontal="left"/>
      <protection hidden="1"/>
    </xf>
    <xf numFmtId="2" fontId="30" fillId="0" borderId="2" xfId="0" applyNumberFormat="1" applyFont="1" applyBorder="1" applyAlignment="1" applyProtection="1">
      <alignment/>
      <protection hidden="1"/>
    </xf>
    <xf numFmtId="2" fontId="30" fillId="0" borderId="3" xfId="0" applyNumberFormat="1" applyFont="1" applyBorder="1" applyAlignment="1" applyProtection="1">
      <alignment/>
      <protection hidden="1"/>
    </xf>
    <xf numFmtId="0" fontId="30" fillId="0" borderId="5" xfId="0" applyFont="1" applyBorder="1" applyAlignment="1" applyProtection="1">
      <alignment horizontal="right"/>
      <protection hidden="1"/>
    </xf>
    <xf numFmtId="196" fontId="20" fillId="0" borderId="5" xfId="0" applyNumberFormat="1" applyFont="1" applyBorder="1" applyAlignment="1" applyProtection="1">
      <alignment/>
      <protection hidden="1"/>
    </xf>
    <xf numFmtId="0" fontId="38" fillId="0" borderId="1" xfId="0" applyFont="1" applyBorder="1" applyAlignment="1" applyProtection="1">
      <alignment horizontal="right"/>
      <protection hidden="1"/>
    </xf>
    <xf numFmtId="2" fontId="30" fillId="0" borderId="1" xfId="0" applyNumberFormat="1" applyFont="1" applyBorder="1" applyAlignment="1" applyProtection="1">
      <alignment horizontal="right"/>
      <protection hidden="1"/>
    </xf>
    <xf numFmtId="2" fontId="30" fillId="0" borderId="7" xfId="0" applyNumberFormat="1" applyFont="1" applyBorder="1" applyAlignment="1" applyProtection="1">
      <alignment/>
      <protection hidden="1"/>
    </xf>
    <xf numFmtId="196" fontId="30" fillId="0" borderId="1" xfId="0" applyNumberFormat="1" applyFont="1" applyBorder="1" applyAlignment="1" applyProtection="1">
      <alignment horizontal="right"/>
      <protection hidden="1"/>
    </xf>
    <xf numFmtId="196" fontId="30" fillId="0" borderId="1" xfId="0" applyNumberFormat="1" applyFont="1" applyBorder="1" applyAlignment="1" applyProtection="1">
      <alignment/>
      <protection hidden="1"/>
    </xf>
    <xf numFmtId="2" fontId="30" fillId="0" borderId="5" xfId="0" applyNumberFormat="1" applyFont="1" applyBorder="1" applyAlignment="1" applyProtection="1">
      <alignment/>
      <protection hidden="1"/>
    </xf>
    <xf numFmtId="0" fontId="13" fillId="0" borderId="5" xfId="0" applyFont="1" applyBorder="1" applyAlignment="1" applyProtection="1">
      <alignment horizontal="left"/>
      <protection hidden="1"/>
    </xf>
    <xf numFmtId="0" fontId="30" fillId="0" borderId="5" xfId="0" applyFont="1" applyBorder="1" applyAlignment="1" applyProtection="1">
      <alignment/>
      <protection hidden="1"/>
    </xf>
    <xf numFmtId="0" fontId="20" fillId="0" borderId="6" xfId="0" applyFont="1" applyBorder="1" applyAlignment="1" applyProtection="1">
      <alignment/>
      <protection hidden="1"/>
    </xf>
    <xf numFmtId="2" fontId="20" fillId="0" borderId="6" xfId="0" applyNumberFormat="1" applyFont="1" applyBorder="1" applyAlignment="1" applyProtection="1">
      <alignment/>
      <protection hidden="1"/>
    </xf>
    <xf numFmtId="0" fontId="13" fillId="0" borderId="1" xfId="0" applyFont="1" applyBorder="1" applyAlignment="1" applyProtection="1">
      <alignment horizontal="right"/>
      <protection hidden="1"/>
    </xf>
    <xf numFmtId="0" fontId="30" fillId="0" borderId="2" xfId="0" applyFont="1" applyBorder="1" applyAlignment="1" applyProtection="1">
      <alignment horizontal="right"/>
      <protection hidden="1"/>
    </xf>
    <xf numFmtId="0" fontId="30" fillId="0" borderId="2" xfId="0" applyFont="1" applyBorder="1" applyAlignment="1" applyProtection="1">
      <alignment/>
      <protection hidden="1"/>
    </xf>
    <xf numFmtId="1" fontId="20" fillId="0" borderId="3" xfId="0" applyNumberFormat="1" applyFont="1" applyBorder="1" applyAlignment="1" applyProtection="1">
      <alignment/>
      <protection hidden="1"/>
    </xf>
    <xf numFmtId="2" fontId="20" fillId="0" borderId="7" xfId="0" applyNumberFormat="1" applyFont="1" applyBorder="1" applyAlignment="1" applyProtection="1">
      <alignment/>
      <protection hidden="1"/>
    </xf>
    <xf numFmtId="0" fontId="9" fillId="0" borderId="1" xfId="0" applyFont="1" applyBorder="1" applyAlignment="1" applyProtection="1">
      <alignment/>
      <protection hidden="1"/>
    </xf>
    <xf numFmtId="1" fontId="20" fillId="0" borderId="1" xfId="0" applyNumberFormat="1" applyFont="1" applyBorder="1" applyAlignment="1" applyProtection="1">
      <alignment/>
      <protection hidden="1"/>
    </xf>
    <xf numFmtId="2" fontId="20" fillId="0" borderId="3" xfId="0" applyNumberFormat="1" applyFont="1" applyBorder="1" applyAlignment="1" applyProtection="1">
      <alignment horizontal="right"/>
      <protection hidden="1"/>
    </xf>
    <xf numFmtId="2" fontId="30" fillId="0" borderId="9" xfId="0" applyNumberFormat="1" applyFont="1" applyBorder="1" applyAlignment="1" applyProtection="1">
      <alignment horizontal="right"/>
      <protection hidden="1"/>
    </xf>
    <xf numFmtId="0" fontId="20" fillId="0" borderId="10" xfId="0" applyFont="1" applyBorder="1" applyAlignment="1" applyProtection="1">
      <alignment horizontal="left"/>
      <protection hidden="1"/>
    </xf>
    <xf numFmtId="196" fontId="30" fillId="0" borderId="9" xfId="0" applyNumberFormat="1" applyFont="1" applyBorder="1" applyAlignment="1" applyProtection="1">
      <alignment/>
      <protection hidden="1"/>
    </xf>
    <xf numFmtId="0" fontId="13" fillId="0" borderId="10" xfId="0" applyFont="1" applyBorder="1" applyAlignment="1" applyProtection="1">
      <alignment horizontal="left"/>
      <protection hidden="1"/>
    </xf>
    <xf numFmtId="0" fontId="38" fillId="0" borderId="11" xfId="0" applyFont="1" applyBorder="1" applyAlignment="1" applyProtection="1">
      <alignment horizontal="right"/>
      <protection hidden="1"/>
    </xf>
    <xf numFmtId="196" fontId="30" fillId="0" borderId="9" xfId="0" applyNumberFormat="1" applyFont="1" applyBorder="1" applyAlignment="1" applyProtection="1">
      <alignment horizontal="right"/>
      <protection hidden="1"/>
    </xf>
    <xf numFmtId="2" fontId="30" fillId="0" borderId="9" xfId="0" applyNumberFormat="1" applyFont="1" applyBorder="1" applyAlignment="1" applyProtection="1">
      <alignment/>
      <protection hidden="1"/>
    </xf>
    <xf numFmtId="0" fontId="13" fillId="0" borderId="12" xfId="0" applyFont="1" applyBorder="1" applyAlignment="1" applyProtection="1">
      <alignment horizontal="right"/>
      <protection hidden="1"/>
    </xf>
    <xf numFmtId="0" fontId="20" fillId="0" borderId="11" xfId="0" applyFont="1" applyBorder="1" applyAlignment="1" applyProtection="1">
      <alignment/>
      <protection hidden="1"/>
    </xf>
    <xf numFmtId="196" fontId="20" fillId="0" borderId="6" xfId="0" applyNumberFormat="1" applyFont="1" applyBorder="1" applyAlignment="1" applyProtection="1">
      <alignment/>
      <protection hidden="1"/>
    </xf>
    <xf numFmtId="0" fontId="37" fillId="0" borderId="7" xfId="0" applyFont="1" applyBorder="1" applyAlignment="1" applyProtection="1">
      <alignment/>
      <protection hidden="1"/>
    </xf>
    <xf numFmtId="0" fontId="38" fillId="0" borderId="3" xfId="0" applyFont="1" applyBorder="1" applyAlignment="1" applyProtection="1">
      <alignment/>
      <protection hidden="1"/>
    </xf>
    <xf numFmtId="0" fontId="13" fillId="0" borderId="13" xfId="0" applyFont="1" applyBorder="1" applyAlignment="1" applyProtection="1">
      <alignment horizontal="right"/>
      <protection hidden="1"/>
    </xf>
    <xf numFmtId="0" fontId="9" fillId="0" borderId="12" xfId="0" applyFont="1" applyBorder="1" applyAlignment="1" applyProtection="1">
      <alignment/>
      <protection hidden="1"/>
    </xf>
    <xf numFmtId="0" fontId="31" fillId="0" borderId="14" xfId="0" applyFont="1" applyBorder="1" applyAlignment="1" applyProtection="1">
      <alignment horizontal="right"/>
      <protection hidden="1"/>
    </xf>
    <xf numFmtId="0" fontId="31" fillId="0" borderId="2" xfId="0" applyFont="1" applyBorder="1" applyAlignment="1" applyProtection="1">
      <alignment/>
      <protection hidden="1"/>
    </xf>
    <xf numFmtId="0" fontId="23" fillId="0" borderId="7" xfId="0" applyFont="1" applyFill="1" applyBorder="1" applyAlignment="1" applyProtection="1">
      <alignment/>
      <protection hidden="1"/>
    </xf>
    <xf numFmtId="0" fontId="9" fillId="0" borderId="2" xfId="0" applyFont="1" applyBorder="1" applyAlignment="1" applyProtection="1">
      <alignment/>
      <protection hidden="1"/>
    </xf>
    <xf numFmtId="0" fontId="9" fillId="0" borderId="13" xfId="0" applyFont="1" applyBorder="1" applyAlignment="1" applyProtection="1">
      <alignment horizontal="left"/>
      <protection hidden="1"/>
    </xf>
    <xf numFmtId="0" fontId="13" fillId="0" borderId="13" xfId="0" applyFont="1" applyBorder="1" applyAlignment="1" applyProtection="1">
      <alignment horizontal="left"/>
      <protection hidden="1"/>
    </xf>
    <xf numFmtId="0" fontId="13" fillId="0" borderId="15" xfId="0" applyFont="1" applyBorder="1" applyAlignment="1" applyProtection="1">
      <alignment horizontal="right"/>
      <protection hidden="1"/>
    </xf>
    <xf numFmtId="0" fontId="13" fillId="0" borderId="3" xfId="0" applyFont="1" applyBorder="1" applyAlignment="1" applyProtection="1">
      <alignment horizontal="left"/>
      <protection hidden="1"/>
    </xf>
    <xf numFmtId="0" fontId="13" fillId="0" borderId="14" xfId="0" applyFont="1" applyBorder="1" applyAlignment="1" applyProtection="1">
      <alignment horizontal="right"/>
      <protection hidden="1"/>
    </xf>
    <xf numFmtId="0" fontId="9" fillId="0" borderId="8" xfId="0" applyFont="1" applyBorder="1" applyAlignment="1" applyProtection="1">
      <alignment horizontal="right"/>
      <protection hidden="1"/>
    </xf>
    <xf numFmtId="0" fontId="23" fillId="0" borderId="0" xfId="0" applyFont="1" applyFill="1" applyAlignment="1" applyProtection="1">
      <alignment/>
      <protection hidden="1"/>
    </xf>
    <xf numFmtId="0" fontId="20" fillId="0" borderId="0" xfId="0" applyFont="1" applyFill="1" applyBorder="1" applyAlignment="1" applyProtection="1">
      <alignment/>
      <protection hidden="1"/>
    </xf>
    <xf numFmtId="0" fontId="29" fillId="0" borderId="9" xfId="0" applyFont="1" applyBorder="1" applyAlignment="1" applyProtection="1">
      <alignment/>
      <protection hidden="1"/>
    </xf>
    <xf numFmtId="0" fontId="9" fillId="0" borderId="10" xfId="0" applyFont="1" applyBorder="1" applyAlignment="1" applyProtection="1">
      <alignment/>
      <protection hidden="1"/>
    </xf>
    <xf numFmtId="0" fontId="19" fillId="0" borderId="10" xfId="0" applyFont="1" applyBorder="1" applyAlignment="1" applyProtection="1">
      <alignment horizontal="left"/>
      <protection hidden="1"/>
    </xf>
    <xf numFmtId="0" fontId="14" fillId="0" borderId="10" xfId="0" applyFont="1" applyBorder="1" applyAlignment="1" applyProtection="1">
      <alignment/>
      <protection hidden="1"/>
    </xf>
    <xf numFmtId="0" fontId="20" fillId="0" borderId="16" xfId="0" applyFont="1" applyBorder="1" applyAlignment="1" applyProtection="1">
      <alignment/>
      <protection hidden="1"/>
    </xf>
    <xf numFmtId="0" fontId="13" fillId="0" borderId="16" xfId="0" applyFont="1" applyBorder="1" applyAlignment="1" applyProtection="1">
      <alignment horizontal="right"/>
      <protection hidden="1"/>
    </xf>
    <xf numFmtId="0" fontId="29" fillId="0" borderId="7" xfId="0" applyFont="1" applyBorder="1" applyAlignment="1" applyProtection="1">
      <alignment/>
      <protection hidden="1"/>
    </xf>
    <xf numFmtId="0" fontId="19" fillId="0" borderId="6" xfId="0" applyFont="1" applyBorder="1" applyAlignment="1" applyProtection="1">
      <alignment horizontal="left"/>
      <protection hidden="1"/>
    </xf>
    <xf numFmtId="0" fontId="14" fillId="0" borderId="6" xfId="0" applyFont="1" applyBorder="1" applyAlignment="1" applyProtection="1">
      <alignment/>
      <protection hidden="1"/>
    </xf>
    <xf numFmtId="0" fontId="20" fillId="0" borderId="14" xfId="0" applyFont="1" applyBorder="1" applyAlignment="1" applyProtection="1">
      <alignment/>
      <protection hidden="1"/>
    </xf>
    <xf numFmtId="0" fontId="19" fillId="0" borderId="4" xfId="0" applyFont="1" applyBorder="1" applyAlignment="1" applyProtection="1">
      <alignment horizontal="left"/>
      <protection hidden="1"/>
    </xf>
    <xf numFmtId="0" fontId="14" fillId="0" borderId="0" xfId="0" applyFont="1" applyBorder="1" applyAlignment="1" applyProtection="1">
      <alignment/>
      <protection hidden="1"/>
    </xf>
    <xf numFmtId="0" fontId="20" fillId="0" borderId="8" xfId="0" applyFont="1" applyBorder="1" applyAlignment="1" applyProtection="1">
      <alignment/>
      <protection hidden="1"/>
    </xf>
    <xf numFmtId="0" fontId="13" fillId="0" borderId="8" xfId="0" applyFont="1" applyBorder="1" applyAlignment="1" applyProtection="1">
      <alignment horizontal="right"/>
      <protection hidden="1"/>
    </xf>
    <xf numFmtId="0" fontId="20" fillId="0" borderId="13" xfId="0" applyFont="1" applyBorder="1" applyAlignment="1" applyProtection="1">
      <alignment/>
      <protection hidden="1"/>
    </xf>
    <xf numFmtId="0" fontId="19" fillId="0" borderId="2" xfId="0" applyFont="1" applyBorder="1" applyAlignment="1" applyProtection="1">
      <alignment horizontal="left"/>
      <protection hidden="1"/>
    </xf>
    <xf numFmtId="0" fontId="20" fillId="0" borderId="2" xfId="0" applyFont="1" applyBorder="1" applyAlignment="1" applyProtection="1">
      <alignment/>
      <protection hidden="1"/>
    </xf>
    <xf numFmtId="0" fontId="9" fillId="0" borderId="2" xfId="0" applyFont="1" applyBorder="1" applyAlignment="1" applyProtection="1">
      <alignment horizontal="left"/>
      <protection hidden="1"/>
    </xf>
    <xf numFmtId="0" fontId="13" fillId="0" borderId="2" xfId="0" applyFont="1" applyBorder="1" applyAlignment="1" applyProtection="1">
      <alignment horizontal="right"/>
      <protection hidden="1"/>
    </xf>
    <xf numFmtId="0" fontId="20" fillId="0" borderId="15" xfId="0" applyFont="1" applyBorder="1" applyAlignment="1" applyProtection="1">
      <alignment/>
      <protection hidden="1"/>
    </xf>
    <xf numFmtId="0" fontId="37" fillId="0" borderId="5" xfId="0" applyFont="1" applyBorder="1" applyAlignment="1" applyProtection="1">
      <alignment/>
      <protection hidden="1"/>
    </xf>
    <xf numFmtId="0" fontId="14" fillId="0" borderId="2" xfId="0" applyFont="1" applyBorder="1" applyAlignment="1" applyProtection="1">
      <alignment/>
      <protection hidden="1"/>
    </xf>
    <xf numFmtId="0" fontId="14" fillId="0" borderId="14" xfId="0" applyFont="1" applyBorder="1" applyAlignment="1" applyProtection="1">
      <alignment/>
      <protection hidden="1"/>
    </xf>
    <xf numFmtId="0" fontId="13" fillId="0" borderId="12" xfId="0" applyFont="1" applyBorder="1" applyAlignment="1" applyProtection="1">
      <alignment/>
      <protection hidden="1"/>
    </xf>
    <xf numFmtId="0" fontId="33" fillId="0" borderId="10" xfId="0" applyFont="1" applyBorder="1" applyAlignment="1" applyProtection="1">
      <alignment/>
      <protection hidden="1"/>
    </xf>
    <xf numFmtId="0" fontId="38" fillId="0" borderId="1" xfId="0" applyFont="1" applyBorder="1" applyAlignment="1" applyProtection="1">
      <alignment horizontal="left"/>
      <protection hidden="1"/>
    </xf>
    <xf numFmtId="0" fontId="38" fillId="0" borderId="11" xfId="0" applyFont="1" applyBorder="1" applyAlignment="1" applyProtection="1">
      <alignment horizontal="left"/>
      <protection hidden="1"/>
    </xf>
    <xf numFmtId="0" fontId="19" fillId="0" borderId="12" xfId="0" applyFont="1" applyBorder="1" applyAlignment="1" applyProtection="1">
      <alignment/>
      <protection hidden="1"/>
    </xf>
    <xf numFmtId="0" fontId="19" fillId="0" borderId="12" xfId="0" applyFont="1" applyBorder="1" applyAlignment="1" applyProtection="1">
      <alignment horizontal="left"/>
      <protection hidden="1"/>
    </xf>
    <xf numFmtId="0" fontId="14" fillId="0" borderId="17" xfId="0" applyFont="1" applyBorder="1" applyAlignment="1" applyProtection="1">
      <alignment/>
      <protection hidden="1"/>
    </xf>
    <xf numFmtId="196" fontId="12" fillId="0" borderId="11" xfId="0" applyNumberFormat="1" applyFont="1" applyBorder="1" applyAlignment="1" applyProtection="1">
      <alignment/>
      <protection hidden="1"/>
    </xf>
    <xf numFmtId="0" fontId="20" fillId="0" borderId="17" xfId="0" applyFont="1" applyBorder="1" applyAlignment="1" applyProtection="1">
      <alignment/>
      <protection hidden="1"/>
    </xf>
    <xf numFmtId="0" fontId="9" fillId="0" borderId="12" xfId="0" applyFont="1" applyBorder="1" applyAlignment="1" applyProtection="1">
      <alignment horizontal="left"/>
      <protection hidden="1"/>
    </xf>
    <xf numFmtId="0" fontId="13" fillId="0" borderId="17" xfId="0" applyFont="1" applyBorder="1" applyAlignment="1" applyProtection="1">
      <alignment horizontal="right"/>
      <protection hidden="1"/>
    </xf>
    <xf numFmtId="0" fontId="19" fillId="0" borderId="6" xfId="0" applyFont="1" applyBorder="1" applyAlignment="1" applyProtection="1">
      <alignment/>
      <protection hidden="1"/>
    </xf>
    <xf numFmtId="2" fontId="12" fillId="0" borderId="6" xfId="0" applyNumberFormat="1" applyFont="1" applyBorder="1" applyAlignment="1" applyProtection="1">
      <alignment/>
      <protection hidden="1"/>
    </xf>
    <xf numFmtId="0" fontId="9" fillId="0" borderId="6" xfId="0" applyFont="1" applyBorder="1" applyAlignment="1" applyProtection="1">
      <alignment horizontal="center"/>
      <protection hidden="1"/>
    </xf>
    <xf numFmtId="0" fontId="9" fillId="0" borderId="0" xfId="0" applyFont="1" applyAlignment="1" applyProtection="1">
      <alignment/>
      <protection hidden="1"/>
    </xf>
    <xf numFmtId="196" fontId="12" fillId="0" borderId="3" xfId="0" applyNumberFormat="1" applyFont="1" applyBorder="1" applyAlignment="1" applyProtection="1">
      <alignment/>
      <protection hidden="1"/>
    </xf>
    <xf numFmtId="0" fontId="30" fillId="0" borderId="15" xfId="0" applyFont="1" applyBorder="1" applyAlignment="1" applyProtection="1">
      <alignment/>
      <protection hidden="1"/>
    </xf>
    <xf numFmtId="2" fontId="12" fillId="0" borderId="3" xfId="0" applyNumberFormat="1" applyFont="1" applyBorder="1" applyAlignment="1" applyProtection="1">
      <alignment/>
      <protection hidden="1"/>
    </xf>
    <xf numFmtId="196" fontId="12" fillId="0" borderId="5" xfId="0" applyNumberFormat="1" applyFont="1" applyBorder="1" applyAlignment="1" applyProtection="1">
      <alignment/>
      <protection hidden="1"/>
    </xf>
    <xf numFmtId="0" fontId="30" fillId="0" borderId="14" xfId="0" applyFont="1" applyBorder="1" applyAlignment="1" applyProtection="1">
      <alignment/>
      <protection hidden="1"/>
    </xf>
    <xf numFmtId="0" fontId="13" fillId="0" borderId="7" xfId="0" applyFont="1" applyBorder="1" applyAlignment="1" applyProtection="1">
      <alignment horizontal="left"/>
      <protection hidden="1"/>
    </xf>
    <xf numFmtId="0" fontId="31" fillId="0" borderId="0" xfId="0" applyFont="1" applyBorder="1" applyAlignment="1" applyProtection="1">
      <alignment horizontal="left"/>
      <protection hidden="1"/>
    </xf>
    <xf numFmtId="0" fontId="31" fillId="0" borderId="0" xfId="0" applyFont="1" applyBorder="1" applyAlignment="1" applyProtection="1">
      <alignment horizontal="right"/>
      <protection hidden="1"/>
    </xf>
    <xf numFmtId="0" fontId="30" fillId="0" borderId="8" xfId="0" applyFont="1" applyBorder="1" applyAlignment="1" applyProtection="1">
      <alignment/>
      <protection hidden="1"/>
    </xf>
    <xf numFmtId="0" fontId="9" fillId="0" borderId="13" xfId="0" applyFont="1" applyBorder="1" applyAlignment="1" applyProtection="1">
      <alignment/>
      <protection hidden="1"/>
    </xf>
    <xf numFmtId="2" fontId="12" fillId="0" borderId="5" xfId="0" applyNumberFormat="1" applyFont="1" applyBorder="1" applyAlignment="1" applyProtection="1">
      <alignment/>
      <protection hidden="1"/>
    </xf>
    <xf numFmtId="2" fontId="12" fillId="0" borderId="1" xfId="0" applyNumberFormat="1" applyFont="1" applyBorder="1" applyAlignment="1" applyProtection="1">
      <alignment/>
      <protection hidden="1"/>
    </xf>
    <xf numFmtId="0" fontId="30" fillId="0" borderId="13" xfId="0" applyFont="1" applyBorder="1" applyAlignment="1" applyProtection="1">
      <alignment/>
      <protection hidden="1"/>
    </xf>
    <xf numFmtId="2" fontId="12" fillId="0" borderId="3" xfId="0" applyNumberFormat="1" applyFont="1" applyBorder="1" applyAlignment="1" applyProtection="1">
      <alignment horizontal="right"/>
      <protection hidden="1"/>
    </xf>
    <xf numFmtId="196" fontId="30" fillId="0" borderId="11" xfId="0" applyNumberFormat="1" applyFont="1" applyBorder="1" applyAlignment="1" applyProtection="1">
      <alignment horizontal="right"/>
      <protection hidden="1"/>
    </xf>
    <xf numFmtId="0" fontId="20" fillId="0" borderId="12" xfId="0" applyFont="1" applyBorder="1" applyAlignment="1" applyProtection="1">
      <alignment horizontal="left"/>
      <protection hidden="1"/>
    </xf>
    <xf numFmtId="0" fontId="14" fillId="0" borderId="12" xfId="0" applyFont="1" applyBorder="1" applyAlignment="1" applyProtection="1">
      <alignment/>
      <protection hidden="1"/>
    </xf>
    <xf numFmtId="2" fontId="30" fillId="0" borderId="11" xfId="0" applyNumberFormat="1" applyFont="1" applyBorder="1" applyAlignment="1" applyProtection="1">
      <alignment/>
      <protection hidden="1"/>
    </xf>
    <xf numFmtId="0" fontId="13" fillId="0" borderId="12" xfId="0" applyFont="1" applyBorder="1" applyAlignment="1" applyProtection="1">
      <alignment horizontal="left"/>
      <protection hidden="1"/>
    </xf>
    <xf numFmtId="0" fontId="38" fillId="0" borderId="5" xfId="0" applyFont="1" applyBorder="1" applyAlignment="1" applyProtection="1">
      <alignment/>
      <protection hidden="1"/>
    </xf>
    <xf numFmtId="0" fontId="43" fillId="0" borderId="2" xfId="0" applyFont="1" applyBorder="1" applyAlignment="1" applyProtection="1">
      <alignment/>
      <protection hidden="1"/>
    </xf>
    <xf numFmtId="0" fontId="13" fillId="0" borderId="13" xfId="0" applyFont="1" applyBorder="1" applyAlignment="1" applyProtection="1">
      <alignment/>
      <protection hidden="1"/>
    </xf>
    <xf numFmtId="0" fontId="9" fillId="3" borderId="0" xfId="0" applyFont="1" applyFill="1" applyBorder="1" applyAlignment="1" applyProtection="1">
      <alignment/>
      <protection hidden="1"/>
    </xf>
    <xf numFmtId="0" fontId="33" fillId="3" borderId="0" xfId="0" applyFont="1" applyFill="1" applyBorder="1" applyAlignment="1" applyProtection="1">
      <alignment/>
      <protection hidden="1"/>
    </xf>
    <xf numFmtId="0" fontId="9" fillId="0" borderId="0" xfId="0" applyFont="1" applyFill="1" applyBorder="1" applyAlignment="1" applyProtection="1">
      <alignment horizontal="right"/>
      <protection hidden="1"/>
    </xf>
    <xf numFmtId="0" fontId="46" fillId="3" borderId="0" xfId="0" applyFont="1" applyFill="1" applyBorder="1" applyAlignment="1" applyProtection="1">
      <alignment/>
      <protection hidden="1"/>
    </xf>
    <xf numFmtId="0" fontId="46" fillId="3" borderId="0" xfId="0" applyFont="1" applyFill="1" applyBorder="1" applyAlignment="1" applyProtection="1">
      <alignment horizontal="center"/>
      <protection hidden="1"/>
    </xf>
    <xf numFmtId="0" fontId="9" fillId="4" borderId="6" xfId="0" applyFont="1" applyFill="1" applyBorder="1" applyAlignment="1" applyProtection="1">
      <alignment/>
      <protection hidden="1"/>
    </xf>
    <xf numFmtId="0" fontId="13" fillId="4" borderId="6" xfId="0" applyFont="1" applyFill="1" applyBorder="1" applyAlignment="1" applyProtection="1">
      <alignment/>
      <protection hidden="1"/>
    </xf>
    <xf numFmtId="0" fontId="9" fillId="4" borderId="0" xfId="0" applyFont="1" applyFill="1" applyBorder="1" applyAlignment="1" applyProtection="1">
      <alignment/>
      <protection hidden="1"/>
    </xf>
    <xf numFmtId="0" fontId="13" fillId="4" borderId="0" xfId="0" applyFont="1" applyFill="1" applyBorder="1" applyAlignment="1" applyProtection="1">
      <alignment/>
      <protection hidden="1"/>
    </xf>
    <xf numFmtId="0" fontId="9" fillId="4" borderId="0" xfId="0" applyFont="1" applyFill="1" applyBorder="1" applyAlignment="1" applyProtection="1">
      <alignment horizontal="center"/>
      <protection hidden="1"/>
    </xf>
    <xf numFmtId="0" fontId="9" fillId="4" borderId="0" xfId="0" applyFont="1" applyFill="1" applyAlignment="1" applyProtection="1">
      <alignment/>
      <protection hidden="1"/>
    </xf>
    <xf numFmtId="0" fontId="13" fillId="4" borderId="0" xfId="0" applyFont="1" applyFill="1" applyAlignment="1" applyProtection="1">
      <alignment/>
      <protection hidden="1"/>
    </xf>
    <xf numFmtId="0" fontId="9" fillId="0" borderId="6" xfId="0" applyFont="1" applyFill="1" applyBorder="1" applyAlignment="1" applyProtection="1">
      <alignment/>
      <protection hidden="1"/>
    </xf>
    <xf numFmtId="0" fontId="13" fillId="0" borderId="6" xfId="0" applyFont="1" applyFill="1" applyBorder="1" applyAlignment="1" applyProtection="1">
      <alignment/>
      <protection hidden="1"/>
    </xf>
    <xf numFmtId="0" fontId="13" fillId="0" borderId="6" xfId="0" applyFont="1" applyFill="1" applyBorder="1" applyAlignment="1" applyProtection="1">
      <alignment/>
      <protection hidden="1"/>
    </xf>
    <xf numFmtId="0" fontId="9" fillId="0" borderId="5" xfId="0" applyFont="1" applyFill="1" applyBorder="1" applyAlignment="1" applyProtection="1">
      <alignment/>
      <protection hidden="1"/>
    </xf>
    <xf numFmtId="0" fontId="9" fillId="0" borderId="2" xfId="0" applyFont="1" applyFill="1" applyBorder="1" applyAlignment="1" applyProtection="1">
      <alignment/>
      <protection hidden="1"/>
    </xf>
    <xf numFmtId="0" fontId="13" fillId="0" borderId="2" xfId="0" applyFont="1" applyFill="1" applyBorder="1" applyAlignment="1" applyProtection="1">
      <alignment/>
      <protection hidden="1"/>
    </xf>
    <xf numFmtId="0" fontId="13" fillId="0" borderId="2" xfId="0" applyFont="1" applyFill="1" applyBorder="1" applyAlignment="1" applyProtection="1">
      <alignment/>
      <protection hidden="1"/>
    </xf>
    <xf numFmtId="0" fontId="9" fillId="0" borderId="1" xfId="0" applyFont="1" applyFill="1" applyBorder="1" applyAlignment="1" applyProtection="1">
      <alignment/>
      <protection hidden="1"/>
    </xf>
    <xf numFmtId="0" fontId="9" fillId="0" borderId="13" xfId="0" applyFont="1" applyFill="1" applyBorder="1" applyAlignment="1" applyProtection="1">
      <alignment/>
      <protection hidden="1"/>
    </xf>
    <xf numFmtId="0" fontId="9" fillId="0" borderId="0" xfId="0" applyFont="1" applyFill="1" applyBorder="1" applyAlignment="1" applyProtection="1">
      <alignment/>
      <protection hidden="1"/>
    </xf>
    <xf numFmtId="0" fontId="13" fillId="0" borderId="0" xfId="0" applyFont="1" applyFill="1" applyBorder="1" applyAlignment="1" applyProtection="1">
      <alignment/>
      <protection hidden="1"/>
    </xf>
    <xf numFmtId="0" fontId="9" fillId="0" borderId="7" xfId="0" applyFont="1" applyFill="1" applyBorder="1" applyAlignment="1" applyProtection="1">
      <alignment/>
      <protection hidden="1"/>
    </xf>
    <xf numFmtId="0" fontId="9" fillId="0" borderId="8" xfId="0" applyFont="1" applyFill="1" applyBorder="1" applyAlignment="1" applyProtection="1">
      <alignment/>
      <protection hidden="1"/>
    </xf>
    <xf numFmtId="0" fontId="29" fillId="0" borderId="6" xfId="0" applyFont="1" applyFill="1" applyBorder="1" applyAlignment="1" applyProtection="1">
      <alignment/>
      <protection hidden="1"/>
    </xf>
    <xf numFmtId="0" fontId="29" fillId="0" borderId="0" xfId="0" applyFont="1" applyFill="1" applyBorder="1" applyAlignment="1" applyProtection="1">
      <alignment/>
      <protection hidden="1"/>
    </xf>
    <xf numFmtId="0" fontId="29" fillId="0" borderId="18" xfId="0" applyFont="1" applyFill="1" applyBorder="1" applyAlignment="1" applyProtection="1">
      <alignment/>
      <protection hidden="1"/>
    </xf>
    <xf numFmtId="0" fontId="9" fillId="0" borderId="19" xfId="0" applyFont="1" applyFill="1" applyBorder="1" applyAlignment="1" applyProtection="1">
      <alignment horizontal="right"/>
      <protection hidden="1"/>
    </xf>
    <xf numFmtId="0" fontId="9" fillId="0" borderId="18" xfId="0" applyFont="1" applyFill="1" applyBorder="1" applyAlignment="1" applyProtection="1">
      <alignment/>
      <protection hidden="1"/>
    </xf>
    <xf numFmtId="0" fontId="33" fillId="0" borderId="0" xfId="0" applyFont="1" applyFill="1" applyBorder="1" applyAlignment="1" applyProtection="1">
      <alignment/>
      <protection hidden="1"/>
    </xf>
    <xf numFmtId="0" fontId="9" fillId="0" borderId="0" xfId="0" applyFont="1" applyFill="1" applyAlignment="1" applyProtection="1">
      <alignment/>
      <protection hidden="1"/>
    </xf>
    <xf numFmtId="0" fontId="9" fillId="0" borderId="3" xfId="0" applyFont="1" applyFill="1" applyBorder="1" applyAlignment="1" applyProtection="1">
      <alignment/>
      <protection hidden="1"/>
    </xf>
    <xf numFmtId="0" fontId="9" fillId="0" borderId="4" xfId="0" applyFont="1" applyFill="1" applyBorder="1" applyAlignment="1" applyProtection="1">
      <alignment horizontal="right"/>
      <protection hidden="1"/>
    </xf>
    <xf numFmtId="0" fontId="19" fillId="0" borderId="4" xfId="0" applyFont="1" applyFill="1" applyBorder="1" applyAlignment="1" applyProtection="1">
      <alignment horizontal="left"/>
      <protection hidden="1"/>
    </xf>
    <xf numFmtId="0" fontId="14" fillId="0" borderId="4" xfId="0" applyFont="1" applyFill="1" applyBorder="1" applyAlignment="1" applyProtection="1">
      <alignment/>
      <protection hidden="1"/>
    </xf>
    <xf numFmtId="0" fontId="20" fillId="0" borderId="4" xfId="0" applyFont="1" applyFill="1" applyBorder="1" applyAlignment="1" applyProtection="1">
      <alignment/>
      <protection hidden="1"/>
    </xf>
    <xf numFmtId="0" fontId="20" fillId="0" borderId="15" xfId="0" applyFont="1" applyFill="1" applyBorder="1" applyAlignment="1" applyProtection="1">
      <alignment/>
      <protection hidden="1"/>
    </xf>
    <xf numFmtId="0" fontId="13" fillId="0" borderId="19" xfId="0" applyFont="1" applyFill="1" applyBorder="1" applyAlignment="1" applyProtection="1">
      <alignment horizontal="right"/>
      <protection hidden="1"/>
    </xf>
    <xf numFmtId="0" fontId="20" fillId="0" borderId="0" xfId="0" applyFont="1" applyFill="1" applyAlignment="1" applyProtection="1">
      <alignment horizontal="center"/>
      <protection hidden="1"/>
    </xf>
    <xf numFmtId="0" fontId="60" fillId="0" borderId="0" xfId="0" applyFont="1" applyFill="1" applyBorder="1" applyAlignment="1" applyProtection="1">
      <alignment/>
      <protection hidden="1"/>
    </xf>
    <xf numFmtId="0" fontId="15" fillId="0" borderId="0" xfId="0" applyFont="1" applyFill="1" applyBorder="1" applyAlignment="1" applyProtection="1">
      <alignment horizontal="left"/>
      <protection hidden="1"/>
    </xf>
    <xf numFmtId="0" fontId="19" fillId="0" borderId="20" xfId="0" applyFont="1" applyFill="1" applyBorder="1" applyAlignment="1" applyProtection="1">
      <alignment horizontal="center"/>
      <protection hidden="1"/>
    </xf>
    <xf numFmtId="0" fontId="15" fillId="0" borderId="19" xfId="0" applyFont="1" applyFill="1" applyBorder="1" applyAlignment="1" applyProtection="1">
      <alignment horizontal="left"/>
      <protection hidden="1"/>
    </xf>
    <xf numFmtId="0" fontId="14" fillId="0" borderId="6" xfId="0" applyFont="1" applyFill="1" applyBorder="1" applyAlignment="1" applyProtection="1">
      <alignment/>
      <protection hidden="1"/>
    </xf>
    <xf numFmtId="0" fontId="20" fillId="0" borderId="6" xfId="0" applyFont="1" applyFill="1" applyBorder="1" applyAlignment="1" applyProtection="1">
      <alignment/>
      <protection hidden="1"/>
    </xf>
    <xf numFmtId="0" fontId="19" fillId="0" borderId="2" xfId="0" applyFont="1" applyFill="1" applyBorder="1" applyAlignment="1" applyProtection="1">
      <alignment horizontal="left"/>
      <protection hidden="1"/>
    </xf>
    <xf numFmtId="2" fontId="12" fillId="0" borderId="1" xfId="0" applyNumberFormat="1" applyFont="1" applyFill="1" applyBorder="1" applyAlignment="1" applyProtection="1">
      <alignment/>
      <protection hidden="1"/>
    </xf>
    <xf numFmtId="0" fontId="20" fillId="0" borderId="2" xfId="0" applyFont="1" applyFill="1" applyBorder="1" applyAlignment="1" applyProtection="1">
      <alignment/>
      <protection hidden="1"/>
    </xf>
    <xf numFmtId="0" fontId="19" fillId="0" borderId="0" xfId="0" applyFont="1" applyFill="1" applyBorder="1" applyAlignment="1" applyProtection="1">
      <alignment horizontal="left"/>
      <protection hidden="1"/>
    </xf>
    <xf numFmtId="0" fontId="14" fillId="0" borderId="0" xfId="0" applyFont="1" applyFill="1" applyBorder="1" applyAlignment="1" applyProtection="1">
      <alignment/>
      <protection hidden="1"/>
    </xf>
    <xf numFmtId="2" fontId="12" fillId="0" borderId="0" xfId="0" applyNumberFormat="1" applyFont="1" applyFill="1" applyBorder="1" applyAlignment="1" applyProtection="1">
      <alignment/>
      <protection hidden="1"/>
    </xf>
    <xf numFmtId="196" fontId="14" fillId="0" borderId="0" xfId="0" applyNumberFormat="1" applyFont="1" applyFill="1" applyBorder="1" applyAlignment="1" applyProtection="1">
      <alignment/>
      <protection hidden="1"/>
    </xf>
    <xf numFmtId="0" fontId="20" fillId="0" borderId="0" xfId="0" applyFont="1" applyFill="1" applyBorder="1" applyAlignment="1" applyProtection="1">
      <alignment/>
      <protection hidden="1"/>
    </xf>
    <xf numFmtId="0" fontId="9" fillId="0" borderId="21" xfId="0" applyFont="1" applyFill="1" applyBorder="1" applyAlignment="1" applyProtection="1">
      <alignment/>
      <protection hidden="1"/>
    </xf>
    <xf numFmtId="0" fontId="9" fillId="0" borderId="12" xfId="0" applyFont="1" applyFill="1" applyBorder="1" applyAlignment="1" applyProtection="1">
      <alignment horizontal="right"/>
      <protection hidden="1"/>
    </xf>
    <xf numFmtId="0" fontId="15" fillId="0" borderId="12" xfId="0" applyFont="1" applyFill="1" applyBorder="1" applyAlignment="1" applyProtection="1">
      <alignment horizontal="left"/>
      <protection hidden="1"/>
    </xf>
    <xf numFmtId="196" fontId="13" fillId="0" borderId="12" xfId="0" applyNumberFormat="1" applyFont="1" applyFill="1" applyBorder="1" applyAlignment="1" applyProtection="1">
      <alignment horizontal="left"/>
      <protection hidden="1"/>
    </xf>
    <xf numFmtId="0" fontId="19" fillId="0" borderId="12" xfId="0" applyFont="1" applyFill="1" applyBorder="1" applyAlignment="1" applyProtection="1">
      <alignment horizontal="left"/>
      <protection hidden="1"/>
    </xf>
    <xf numFmtId="0" fontId="14" fillId="0" borderId="12" xfId="0" applyFont="1" applyFill="1" applyBorder="1" applyAlignment="1" applyProtection="1">
      <alignment/>
      <protection hidden="1"/>
    </xf>
    <xf numFmtId="2" fontId="12" fillId="0" borderId="12" xfId="0" applyNumberFormat="1" applyFont="1" applyFill="1" applyBorder="1" applyAlignment="1" applyProtection="1">
      <alignment/>
      <protection hidden="1"/>
    </xf>
    <xf numFmtId="196" fontId="14" fillId="0" borderId="12" xfId="0" applyNumberFormat="1" applyFont="1" applyFill="1" applyBorder="1" applyAlignment="1" applyProtection="1">
      <alignment/>
      <protection hidden="1"/>
    </xf>
    <xf numFmtId="0" fontId="20" fillId="0" borderId="12" xfId="0" applyFont="1" applyFill="1" applyBorder="1" applyAlignment="1" applyProtection="1">
      <alignment/>
      <protection hidden="1"/>
    </xf>
    <xf numFmtId="0" fontId="13" fillId="0" borderId="22" xfId="0" applyFont="1" applyFill="1" applyBorder="1" applyAlignment="1" applyProtection="1">
      <alignment horizontal="right"/>
      <protection hidden="1"/>
    </xf>
    <xf numFmtId="0" fontId="29" fillId="0" borderId="3" xfId="0" applyFont="1" applyFill="1" applyBorder="1" applyAlignment="1" applyProtection="1">
      <alignment/>
      <protection hidden="1"/>
    </xf>
    <xf numFmtId="0" fontId="9" fillId="0" borderId="4" xfId="0" applyFont="1" applyFill="1" applyBorder="1" applyAlignment="1" applyProtection="1">
      <alignment/>
      <protection hidden="1"/>
    </xf>
    <xf numFmtId="1" fontId="20" fillId="0" borderId="4" xfId="0" applyNumberFormat="1" applyFont="1" applyFill="1" applyBorder="1" applyAlignment="1" applyProtection="1">
      <alignment/>
      <protection hidden="1"/>
    </xf>
    <xf numFmtId="0" fontId="13" fillId="0" borderId="4" xfId="0" applyFont="1" applyFill="1" applyBorder="1" applyAlignment="1" applyProtection="1">
      <alignment/>
      <protection hidden="1"/>
    </xf>
    <xf numFmtId="0" fontId="9" fillId="0" borderId="15" xfId="0" applyFont="1" applyFill="1" applyBorder="1" applyAlignment="1" applyProtection="1">
      <alignment/>
      <protection hidden="1"/>
    </xf>
    <xf numFmtId="0" fontId="13" fillId="0" borderId="15" xfId="0" applyFont="1" applyFill="1" applyBorder="1" applyAlignment="1" applyProtection="1">
      <alignment horizontal="right"/>
      <protection hidden="1"/>
    </xf>
    <xf numFmtId="0" fontId="33" fillId="0" borderId="0" xfId="0" applyFont="1" applyFill="1" applyAlignment="1" applyProtection="1">
      <alignment/>
      <protection hidden="1"/>
    </xf>
    <xf numFmtId="0" fontId="10" fillId="5" borderId="0" xfId="0" applyFont="1" applyFill="1" applyBorder="1" applyAlignment="1" applyProtection="1">
      <alignment horizontal="left"/>
      <protection hidden="1"/>
    </xf>
    <xf numFmtId="0" fontId="0" fillId="5" borderId="0" xfId="0" applyFill="1" applyBorder="1" applyAlignment="1" applyProtection="1">
      <alignment/>
      <protection hidden="1"/>
    </xf>
    <xf numFmtId="0" fontId="5" fillId="5" borderId="0" xfId="0" applyFont="1" applyFill="1" applyBorder="1" applyAlignment="1" applyProtection="1">
      <alignment/>
      <protection hidden="1"/>
    </xf>
    <xf numFmtId="0" fontId="49" fillId="5" borderId="0" xfId="0" applyFont="1" applyFill="1" applyBorder="1" applyAlignment="1" applyProtection="1">
      <alignment/>
      <protection hidden="1"/>
    </xf>
    <xf numFmtId="0" fontId="6" fillId="5" borderId="0" xfId="0" applyFont="1" applyFill="1" applyBorder="1" applyAlignment="1" applyProtection="1">
      <alignment/>
      <protection hidden="1"/>
    </xf>
    <xf numFmtId="0" fontId="0" fillId="5" borderId="0" xfId="0" applyFill="1" applyBorder="1" applyAlignment="1" applyProtection="1">
      <alignment horizontal="right"/>
      <protection hidden="1"/>
    </xf>
    <xf numFmtId="0" fontId="7" fillId="5" borderId="0" xfId="0" applyFont="1" applyFill="1" applyBorder="1" applyAlignment="1" applyProtection="1">
      <alignment horizontal="right"/>
      <protection hidden="1"/>
    </xf>
    <xf numFmtId="15" fontId="8" fillId="5" borderId="0" xfId="0" applyNumberFormat="1" applyFont="1" applyFill="1" applyBorder="1" applyAlignment="1" applyProtection="1">
      <alignment horizontal="center"/>
      <protection hidden="1"/>
    </xf>
    <xf numFmtId="0" fontId="34" fillId="5" borderId="0" xfId="0" applyFont="1" applyFill="1" applyBorder="1" applyAlignment="1" applyProtection="1">
      <alignment/>
      <protection hidden="1"/>
    </xf>
    <xf numFmtId="0" fontId="13" fillId="5" borderId="0" xfId="0" applyFont="1" applyFill="1" applyAlignment="1" applyProtection="1">
      <alignment/>
      <protection hidden="1"/>
    </xf>
    <xf numFmtId="0" fontId="0" fillId="5" borderId="0" xfId="0" applyFill="1" applyAlignment="1" applyProtection="1">
      <alignment horizontal="left"/>
      <protection hidden="1"/>
    </xf>
    <xf numFmtId="0" fontId="9" fillId="5" borderId="0" xfId="0" applyFont="1" applyFill="1" applyAlignment="1" applyProtection="1">
      <alignment/>
      <protection hidden="1"/>
    </xf>
    <xf numFmtId="0" fontId="0" fillId="5" borderId="0" xfId="0" applyFill="1" applyAlignment="1" applyProtection="1">
      <alignment/>
      <protection hidden="1"/>
    </xf>
    <xf numFmtId="0" fontId="11" fillId="5" borderId="0" xfId="0" applyFont="1" applyFill="1" applyBorder="1" applyAlignment="1" applyProtection="1">
      <alignment horizontal="right"/>
      <protection hidden="1"/>
    </xf>
    <xf numFmtId="0" fontId="14" fillId="5" borderId="0" xfId="0" applyFont="1" applyFill="1" applyBorder="1" applyAlignment="1" applyProtection="1">
      <alignment horizontal="right"/>
      <protection hidden="1"/>
    </xf>
    <xf numFmtId="0" fontId="11" fillId="5" borderId="0" xfId="0" applyFont="1" applyFill="1" applyAlignment="1" applyProtection="1">
      <alignment/>
      <protection hidden="1"/>
    </xf>
    <xf numFmtId="0" fontId="12" fillId="5" borderId="0" xfId="0" applyFont="1" applyFill="1" applyBorder="1" applyAlignment="1" applyProtection="1">
      <alignment horizontal="left"/>
      <protection hidden="1"/>
    </xf>
    <xf numFmtId="0" fontId="0" fillId="5" borderId="0" xfId="0" applyFont="1" applyFill="1" applyAlignment="1" applyProtection="1">
      <alignment/>
      <protection hidden="1"/>
    </xf>
    <xf numFmtId="0" fontId="33" fillId="5" borderId="0" xfId="0" applyFont="1" applyFill="1" applyBorder="1" applyAlignment="1" applyProtection="1">
      <alignment horizontal="right"/>
      <protection hidden="1"/>
    </xf>
    <xf numFmtId="0" fontId="16" fillId="5" borderId="0" xfId="0" applyFont="1" applyFill="1" applyAlignment="1" applyProtection="1">
      <alignment horizontal="right"/>
      <protection hidden="1"/>
    </xf>
    <xf numFmtId="0" fontId="17" fillId="5" borderId="0" xfId="0" applyFont="1" applyFill="1" applyAlignment="1" applyProtection="1">
      <alignment horizontal="right"/>
      <protection hidden="1"/>
    </xf>
    <xf numFmtId="196" fontId="18" fillId="5" borderId="0" xfId="0" applyNumberFormat="1" applyFont="1" applyFill="1" applyAlignment="1" applyProtection="1">
      <alignment horizontal="right"/>
      <protection hidden="1"/>
    </xf>
    <xf numFmtId="0" fontId="20" fillId="5"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2" fontId="58" fillId="5" borderId="0" xfId="0" applyNumberFormat="1" applyFont="1" applyFill="1" applyBorder="1" applyAlignment="1" applyProtection="1">
      <alignment horizontal="left"/>
      <protection hidden="1"/>
    </xf>
    <xf numFmtId="0" fontId="0" fillId="5" borderId="0" xfId="0" applyFont="1" applyFill="1" applyAlignment="1" applyProtection="1">
      <alignment/>
      <protection hidden="1"/>
    </xf>
    <xf numFmtId="197" fontId="15" fillId="5" borderId="0" xfId="0" applyNumberFormat="1" applyFont="1" applyFill="1" applyBorder="1" applyAlignment="1" applyProtection="1">
      <alignment horizontal="left"/>
      <protection hidden="1"/>
    </xf>
    <xf numFmtId="0" fontId="0" fillId="5" borderId="0" xfId="0" applyFill="1" applyBorder="1" applyAlignment="1" applyProtection="1">
      <alignment/>
      <protection hidden="1"/>
    </xf>
    <xf numFmtId="0" fontId="49" fillId="5" borderId="0" xfId="0" applyFont="1" applyFill="1" applyBorder="1" applyAlignment="1" applyProtection="1">
      <alignment horizontal="right"/>
      <protection hidden="1"/>
    </xf>
    <xf numFmtId="0" fontId="29" fillId="5" borderId="4" xfId="0" applyFont="1" applyFill="1" applyBorder="1" applyAlignment="1" applyProtection="1">
      <alignment/>
      <protection hidden="1"/>
    </xf>
    <xf numFmtId="0" fontId="0" fillId="5" borderId="4" xfId="0" applyFill="1" applyBorder="1" applyAlignment="1" applyProtection="1">
      <alignment/>
      <protection hidden="1"/>
    </xf>
    <xf numFmtId="0" fontId="9" fillId="5" borderId="4" xfId="0" applyFont="1" applyFill="1" applyBorder="1" applyAlignment="1" applyProtection="1">
      <alignment/>
      <protection hidden="1"/>
    </xf>
    <xf numFmtId="0" fontId="13" fillId="5" borderId="4" xfId="0" applyFont="1" applyFill="1" applyBorder="1" applyAlignment="1" applyProtection="1">
      <alignment/>
      <protection hidden="1"/>
    </xf>
    <xf numFmtId="2" fontId="12" fillId="5" borderId="3" xfId="0" applyNumberFormat="1" applyFont="1" applyFill="1" applyBorder="1" applyAlignment="1" applyProtection="1">
      <alignment/>
      <protection hidden="1"/>
    </xf>
    <xf numFmtId="0" fontId="30" fillId="5" borderId="15" xfId="0" applyFont="1" applyFill="1" applyBorder="1" applyAlignment="1" applyProtection="1">
      <alignment/>
      <protection hidden="1"/>
    </xf>
    <xf numFmtId="2" fontId="14" fillId="5" borderId="4" xfId="0" applyNumberFormat="1" applyFont="1" applyFill="1" applyBorder="1" applyAlignment="1" applyProtection="1">
      <alignment/>
      <protection hidden="1"/>
    </xf>
    <xf numFmtId="0" fontId="20" fillId="5" borderId="4" xfId="0" applyFont="1" applyFill="1" applyBorder="1" applyAlignment="1" applyProtection="1">
      <alignment/>
      <protection hidden="1"/>
    </xf>
    <xf numFmtId="0" fontId="37" fillId="5" borderId="3" xfId="0" applyFont="1" applyFill="1" applyBorder="1" applyAlignment="1" applyProtection="1">
      <alignment/>
      <protection hidden="1"/>
    </xf>
    <xf numFmtId="0" fontId="37" fillId="5" borderId="4" xfId="0" applyFont="1" applyFill="1" applyBorder="1" applyAlignment="1" applyProtection="1">
      <alignment/>
      <protection hidden="1"/>
    </xf>
    <xf numFmtId="0" fontId="13" fillId="5" borderId="4" xfId="0" applyFont="1" applyFill="1" applyBorder="1" applyAlignment="1" applyProtection="1">
      <alignment/>
      <protection hidden="1"/>
    </xf>
    <xf numFmtId="0" fontId="13" fillId="5" borderId="23" xfId="0" applyFont="1" applyFill="1" applyBorder="1" applyAlignment="1" applyProtection="1">
      <alignment/>
      <protection hidden="1"/>
    </xf>
    <xf numFmtId="0" fontId="13" fillId="5" borderId="0" xfId="0" applyFont="1" applyFill="1" applyBorder="1" applyAlignment="1" applyProtection="1">
      <alignment horizontal="left"/>
      <protection hidden="1"/>
    </xf>
    <xf numFmtId="0" fontId="9" fillId="5" borderId="0" xfId="0" applyFont="1" applyFill="1" applyBorder="1" applyAlignment="1" applyProtection="1">
      <alignment/>
      <protection hidden="1"/>
    </xf>
    <xf numFmtId="0" fontId="13" fillId="5" borderId="0" xfId="0" applyFont="1" applyFill="1" applyBorder="1" applyAlignment="1" applyProtection="1">
      <alignment horizontal="left"/>
      <protection hidden="1"/>
    </xf>
    <xf numFmtId="196" fontId="12" fillId="5" borderId="0" xfId="0" applyNumberFormat="1" applyFont="1" applyFill="1" applyBorder="1" applyAlignment="1" applyProtection="1">
      <alignment/>
      <protection hidden="1"/>
    </xf>
    <xf numFmtId="0" fontId="30" fillId="5" borderId="0" xfId="0" applyFont="1" applyFill="1" applyBorder="1" applyAlignment="1" applyProtection="1">
      <alignment/>
      <protection hidden="1"/>
    </xf>
    <xf numFmtId="2" fontId="14" fillId="5" borderId="0" xfId="0" applyNumberFormat="1" applyFont="1" applyFill="1" applyBorder="1" applyAlignment="1" applyProtection="1">
      <alignment/>
      <protection hidden="1"/>
    </xf>
    <xf numFmtId="0" fontId="20" fillId="5" borderId="0" xfId="0" applyFont="1" applyFill="1" applyBorder="1" applyAlignment="1" applyProtection="1">
      <alignment/>
      <protection hidden="1"/>
    </xf>
    <xf numFmtId="0" fontId="13" fillId="5" borderId="0" xfId="0" applyFont="1" applyFill="1" applyBorder="1" applyAlignment="1" applyProtection="1">
      <alignment/>
      <protection hidden="1"/>
    </xf>
    <xf numFmtId="0" fontId="12" fillId="5" borderId="0" xfId="0" applyFont="1" applyFill="1" applyAlignment="1" applyProtection="1">
      <alignment horizontal="right"/>
      <protection hidden="1"/>
    </xf>
    <xf numFmtId="0" fontId="12" fillId="5" borderId="0" xfId="0" applyFont="1" applyFill="1" applyAlignment="1" applyProtection="1">
      <alignment/>
      <protection hidden="1"/>
    </xf>
    <xf numFmtId="0" fontId="21" fillId="5" borderId="0" xfId="0" applyFont="1" applyFill="1" applyAlignment="1" applyProtection="1">
      <alignment horizontal="left"/>
      <protection hidden="1"/>
    </xf>
    <xf numFmtId="0" fontId="20" fillId="5" borderId="0" xfId="0" applyFont="1" applyFill="1" applyBorder="1" applyAlignment="1" applyProtection="1">
      <alignment horizontal="right"/>
      <protection hidden="1"/>
    </xf>
    <xf numFmtId="0" fontId="15" fillId="5" borderId="0" xfId="0" applyNumberFormat="1" applyFont="1" applyFill="1" applyBorder="1" applyAlignment="1" applyProtection="1">
      <alignment/>
      <protection hidden="1"/>
    </xf>
    <xf numFmtId="0" fontId="9" fillId="5" borderId="6" xfId="0" applyFont="1" applyFill="1" applyBorder="1" applyAlignment="1" applyProtection="1">
      <alignment/>
      <protection hidden="1"/>
    </xf>
    <xf numFmtId="0" fontId="13" fillId="5" borderId="6" xfId="0" applyFont="1" applyFill="1" applyBorder="1" applyAlignment="1" applyProtection="1">
      <alignment/>
      <protection hidden="1"/>
    </xf>
    <xf numFmtId="0" fontId="20" fillId="5" borderId="6" xfId="0" applyFont="1" applyFill="1" applyBorder="1" applyAlignment="1" applyProtection="1">
      <alignment/>
      <protection hidden="1"/>
    </xf>
    <xf numFmtId="1" fontId="12" fillId="5" borderId="4" xfId="0" applyNumberFormat="1" applyFont="1" applyFill="1" applyBorder="1" applyAlignment="1" applyProtection="1">
      <alignment/>
      <protection hidden="1"/>
    </xf>
    <xf numFmtId="0" fontId="30" fillId="5" borderId="4" xfId="0" applyFont="1" applyFill="1" applyBorder="1" applyAlignment="1" applyProtection="1">
      <alignment/>
      <protection hidden="1"/>
    </xf>
    <xf numFmtId="0" fontId="13" fillId="5" borderId="6" xfId="0" applyFont="1" applyFill="1" applyBorder="1" applyAlignment="1" applyProtection="1">
      <alignment horizontal="left"/>
      <protection hidden="1"/>
    </xf>
    <xf numFmtId="0" fontId="9" fillId="5" borderId="4" xfId="0" applyFont="1" applyFill="1" applyBorder="1" applyAlignment="1" applyProtection="1">
      <alignment/>
      <protection hidden="1"/>
    </xf>
    <xf numFmtId="196" fontId="12" fillId="5" borderId="6" xfId="0" applyNumberFormat="1" applyFont="1" applyFill="1" applyBorder="1" applyAlignment="1" applyProtection="1">
      <alignment/>
      <protection hidden="1"/>
    </xf>
    <xf numFmtId="0" fontId="30" fillId="5" borderId="6" xfId="0" applyFont="1" applyFill="1" applyBorder="1" applyAlignment="1" applyProtection="1">
      <alignment/>
      <protection hidden="1"/>
    </xf>
    <xf numFmtId="2" fontId="19" fillId="5" borderId="6" xfId="0" applyNumberFormat="1" applyFont="1" applyFill="1" applyBorder="1" applyAlignment="1" applyProtection="1">
      <alignment/>
      <protection hidden="1"/>
    </xf>
    <xf numFmtId="0" fontId="23" fillId="5" borderId="0" xfId="0" applyFont="1" applyFill="1" applyBorder="1" applyAlignment="1" applyProtection="1">
      <alignment/>
      <protection hidden="1"/>
    </xf>
    <xf numFmtId="0" fontId="0" fillId="5" borderId="7" xfId="0" applyFill="1" applyBorder="1" applyAlignment="1" applyProtection="1">
      <alignment/>
      <protection hidden="1"/>
    </xf>
    <xf numFmtId="0" fontId="0" fillId="5" borderId="8" xfId="0" applyFill="1" applyBorder="1" applyAlignment="1" applyProtection="1">
      <alignment/>
      <protection hidden="1"/>
    </xf>
    <xf numFmtId="0" fontId="19" fillId="5" borderId="0" xfId="0" applyFont="1" applyFill="1" applyBorder="1" applyAlignment="1" applyProtection="1">
      <alignment horizontal="left"/>
      <protection hidden="1"/>
    </xf>
    <xf numFmtId="0" fontId="46" fillId="5" borderId="0" xfId="0" applyFont="1" applyFill="1" applyBorder="1" applyAlignment="1" applyProtection="1">
      <alignment horizontal="right"/>
      <protection hidden="1"/>
    </xf>
    <xf numFmtId="0" fontId="45" fillId="5" borderId="0" xfId="0" applyFont="1" applyFill="1" applyBorder="1" applyAlignment="1" applyProtection="1">
      <alignment horizontal="right"/>
      <protection hidden="1"/>
    </xf>
    <xf numFmtId="0" fontId="25" fillId="6" borderId="3" xfId="0" applyFont="1" applyFill="1" applyBorder="1" applyAlignment="1" applyProtection="1">
      <alignment/>
      <protection hidden="1"/>
    </xf>
    <xf numFmtId="0" fontId="25" fillId="6" borderId="4" xfId="0" applyFont="1" applyFill="1" applyBorder="1" applyAlignment="1" applyProtection="1">
      <alignment/>
      <protection hidden="1"/>
    </xf>
    <xf numFmtId="0" fontId="25" fillId="6" borderId="15" xfId="0" applyFont="1" applyFill="1" applyBorder="1" applyAlignment="1" applyProtection="1">
      <alignment/>
      <protection hidden="1"/>
    </xf>
    <xf numFmtId="0" fontId="25" fillId="6" borderId="6" xfId="0" applyFont="1" applyFill="1" applyBorder="1" applyAlignment="1" applyProtection="1">
      <alignment/>
      <protection hidden="1"/>
    </xf>
    <xf numFmtId="0" fontId="22" fillId="6" borderId="3" xfId="0" applyFont="1" applyFill="1" applyBorder="1" applyAlignment="1" applyProtection="1">
      <alignment/>
      <protection hidden="1"/>
    </xf>
    <xf numFmtId="0" fontId="22" fillId="6" borderId="4" xfId="0" applyFont="1" applyFill="1" applyBorder="1" applyAlignment="1" applyProtection="1">
      <alignment/>
      <protection hidden="1"/>
    </xf>
    <xf numFmtId="0" fontId="23" fillId="6" borderId="4" xfId="0" applyFont="1" applyFill="1" applyBorder="1" applyAlignment="1" applyProtection="1">
      <alignment/>
      <protection hidden="1"/>
    </xf>
    <xf numFmtId="0" fontId="24" fillId="6" borderId="4" xfId="0" applyFont="1" applyFill="1" applyBorder="1" applyAlignment="1" applyProtection="1">
      <alignment/>
      <protection hidden="1"/>
    </xf>
    <xf numFmtId="0" fontId="26" fillId="6" borderId="4" xfId="0" applyFont="1" applyFill="1" applyBorder="1" applyAlignment="1" applyProtection="1">
      <alignment/>
      <protection hidden="1"/>
    </xf>
    <xf numFmtId="0" fontId="27" fillId="6" borderId="4" xfId="0" applyFont="1" applyFill="1" applyBorder="1" applyAlignment="1" applyProtection="1">
      <alignment horizontal="left"/>
      <protection hidden="1"/>
    </xf>
    <xf numFmtId="0" fontId="28" fillId="6" borderId="4" xfId="0" applyFont="1" applyFill="1" applyBorder="1" applyAlignment="1" applyProtection="1">
      <alignment/>
      <protection hidden="1"/>
    </xf>
    <xf numFmtId="0" fontId="23" fillId="6" borderId="4" xfId="0" applyFont="1" applyFill="1" applyBorder="1" applyAlignment="1" applyProtection="1">
      <alignment horizontal="left"/>
      <protection hidden="1"/>
    </xf>
    <xf numFmtId="0" fontId="29" fillId="0" borderId="1" xfId="0" applyFont="1" applyFill="1" applyBorder="1" applyAlignment="1" applyProtection="1">
      <alignment/>
      <protection hidden="1"/>
    </xf>
    <xf numFmtId="0" fontId="29" fillId="0" borderId="2" xfId="0" applyFont="1" applyFill="1" applyBorder="1" applyAlignment="1" applyProtection="1">
      <alignment/>
      <protection hidden="1"/>
    </xf>
    <xf numFmtId="0" fontId="0" fillId="0" borderId="2" xfId="0" applyFill="1" applyBorder="1" applyAlignment="1" applyProtection="1">
      <alignment/>
      <protection hidden="1"/>
    </xf>
    <xf numFmtId="0" fontId="30" fillId="0" borderId="13" xfId="0" applyFont="1" applyFill="1" applyBorder="1" applyAlignment="1" applyProtection="1">
      <alignment/>
      <protection hidden="1"/>
    </xf>
    <xf numFmtId="0" fontId="13" fillId="0" borderId="24" xfId="0" applyFont="1" applyFill="1" applyBorder="1" applyAlignment="1" applyProtection="1">
      <alignment/>
      <protection hidden="1"/>
    </xf>
    <xf numFmtId="0" fontId="29" fillId="0" borderId="3" xfId="0" applyFont="1" applyFill="1" applyBorder="1" applyAlignment="1" applyProtection="1">
      <alignment/>
      <protection hidden="1"/>
    </xf>
    <xf numFmtId="0" fontId="29" fillId="0" borderId="4" xfId="0" applyFont="1" applyFill="1" applyBorder="1" applyAlignment="1" applyProtection="1">
      <alignment/>
      <protection hidden="1"/>
    </xf>
    <xf numFmtId="0" fontId="0" fillId="0" borderId="4" xfId="0" applyFill="1" applyBorder="1" applyAlignment="1" applyProtection="1">
      <alignment/>
      <protection hidden="1"/>
    </xf>
    <xf numFmtId="0" fontId="13" fillId="0" borderId="4" xfId="0" applyFont="1" applyFill="1" applyBorder="1" applyAlignment="1" applyProtection="1">
      <alignment/>
      <protection hidden="1"/>
    </xf>
    <xf numFmtId="2" fontId="12" fillId="0" borderId="3" xfId="0" applyNumberFormat="1" applyFont="1" applyFill="1" applyBorder="1" applyAlignment="1" applyProtection="1">
      <alignment/>
      <protection hidden="1"/>
    </xf>
    <xf numFmtId="0" fontId="30" fillId="0" borderId="15" xfId="0" applyFont="1" applyFill="1" applyBorder="1" applyAlignment="1" applyProtection="1">
      <alignment/>
      <protection hidden="1"/>
    </xf>
    <xf numFmtId="2" fontId="14" fillId="0" borderId="4" xfId="0" applyNumberFormat="1" applyFont="1" applyFill="1" applyBorder="1" applyAlignment="1" applyProtection="1">
      <alignment/>
      <protection hidden="1"/>
    </xf>
    <xf numFmtId="0" fontId="13" fillId="0" borderId="23" xfId="0" applyFont="1" applyFill="1" applyBorder="1" applyAlignment="1" applyProtection="1">
      <alignment/>
      <protection hidden="1"/>
    </xf>
    <xf numFmtId="0" fontId="37" fillId="0" borderId="3" xfId="0" applyFont="1" applyFill="1" applyBorder="1" applyAlignment="1" applyProtection="1">
      <alignment/>
      <protection hidden="1"/>
    </xf>
    <xf numFmtId="0" fontId="37" fillId="0" borderId="4" xfId="0" applyFont="1" applyFill="1" applyBorder="1" applyAlignment="1" applyProtection="1">
      <alignment/>
      <protection hidden="1"/>
    </xf>
    <xf numFmtId="196" fontId="12" fillId="0" borderId="3" xfId="0" applyNumberFormat="1" applyFont="1" applyFill="1" applyBorder="1" applyAlignment="1" applyProtection="1">
      <alignment/>
      <protection hidden="1"/>
    </xf>
    <xf numFmtId="196" fontId="14" fillId="0" borderId="4" xfId="0" applyNumberFormat="1" applyFont="1" applyFill="1" applyBorder="1" applyAlignment="1" applyProtection="1">
      <alignment/>
      <protection hidden="1"/>
    </xf>
    <xf numFmtId="0" fontId="13" fillId="0" borderId="23" xfId="0" applyFont="1" applyFill="1" applyBorder="1" applyAlignment="1" applyProtection="1">
      <alignment/>
      <protection hidden="1"/>
    </xf>
    <xf numFmtId="1" fontId="12" fillId="0" borderId="3" xfId="0" applyNumberFormat="1" applyFont="1" applyFill="1" applyBorder="1" applyAlignment="1" applyProtection="1">
      <alignment/>
      <protection hidden="1"/>
    </xf>
    <xf numFmtId="0" fontId="29" fillId="0" borderId="1" xfId="0" applyFont="1" applyFill="1" applyBorder="1" applyAlignment="1" applyProtection="1">
      <alignment/>
      <protection hidden="1"/>
    </xf>
    <xf numFmtId="0" fontId="29" fillId="0" borderId="2" xfId="0" applyFont="1" applyFill="1" applyBorder="1" applyAlignment="1" applyProtection="1">
      <alignment/>
      <protection hidden="1"/>
    </xf>
    <xf numFmtId="2" fontId="20" fillId="0" borderId="2" xfId="0" applyNumberFormat="1" applyFont="1" applyFill="1" applyBorder="1" applyAlignment="1" applyProtection="1">
      <alignment/>
      <protection hidden="1"/>
    </xf>
    <xf numFmtId="0" fontId="13" fillId="0" borderId="24" xfId="0" applyFont="1" applyFill="1" applyBorder="1" applyAlignment="1" applyProtection="1">
      <alignment/>
      <protection hidden="1"/>
    </xf>
    <xf numFmtId="0" fontId="29" fillId="0" borderId="5" xfId="0" applyFont="1" applyFill="1" applyBorder="1" applyAlignment="1" applyProtection="1">
      <alignment/>
      <protection hidden="1"/>
    </xf>
    <xf numFmtId="2" fontId="12" fillId="0" borderId="5" xfId="0" applyNumberFormat="1" applyFont="1" applyFill="1" applyBorder="1" applyAlignment="1" applyProtection="1">
      <alignment/>
      <protection hidden="1"/>
    </xf>
    <xf numFmtId="0" fontId="30" fillId="0" borderId="14" xfId="0" applyFont="1" applyFill="1" applyBorder="1" applyAlignment="1" applyProtection="1">
      <alignment/>
      <protection hidden="1"/>
    </xf>
    <xf numFmtId="196" fontId="20" fillId="0" borderId="6" xfId="0" applyNumberFormat="1" applyFont="1" applyFill="1" applyBorder="1" applyAlignment="1" applyProtection="1">
      <alignment/>
      <protection hidden="1"/>
    </xf>
    <xf numFmtId="0" fontId="13" fillId="0" borderId="25" xfId="0" applyFont="1" applyFill="1" applyBorder="1" applyAlignment="1" applyProtection="1">
      <alignment/>
      <protection hidden="1"/>
    </xf>
    <xf numFmtId="0" fontId="38" fillId="0" borderId="3" xfId="0" applyFont="1" applyFill="1" applyBorder="1" applyAlignment="1" applyProtection="1">
      <alignment/>
      <protection hidden="1"/>
    </xf>
    <xf numFmtId="0" fontId="38" fillId="0" borderId="4" xfId="0" applyFont="1" applyFill="1" applyBorder="1" applyAlignment="1" applyProtection="1">
      <alignment/>
      <protection hidden="1"/>
    </xf>
    <xf numFmtId="2" fontId="20" fillId="0" borderId="4" xfId="0" applyNumberFormat="1" applyFont="1" applyFill="1" applyBorder="1" applyAlignment="1" applyProtection="1">
      <alignment/>
      <protection hidden="1"/>
    </xf>
    <xf numFmtId="0" fontId="29" fillId="0" borderId="4" xfId="0" applyFont="1" applyFill="1" applyBorder="1" applyAlignment="1" applyProtection="1">
      <alignment/>
      <protection hidden="1"/>
    </xf>
    <xf numFmtId="0" fontId="31" fillId="0" borderId="23" xfId="0" applyFont="1" applyFill="1" applyBorder="1" applyAlignment="1" applyProtection="1">
      <alignment/>
      <protection hidden="1"/>
    </xf>
    <xf numFmtId="0" fontId="37" fillId="0" borderId="3" xfId="0" applyFont="1" applyFill="1" applyBorder="1" applyAlignment="1" applyProtection="1">
      <alignment/>
      <protection hidden="1"/>
    </xf>
    <xf numFmtId="0" fontId="37" fillId="0" borderId="4"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29" fillId="0" borderId="5" xfId="0" applyFont="1" applyFill="1" applyBorder="1" applyAlignment="1" applyProtection="1">
      <alignment/>
      <protection hidden="1"/>
    </xf>
    <xf numFmtId="0" fontId="13" fillId="0" borderId="6" xfId="0" applyFont="1" applyFill="1" applyBorder="1" applyAlignment="1" applyProtection="1">
      <alignment horizontal="right"/>
      <protection hidden="1"/>
    </xf>
    <xf numFmtId="0" fontId="9" fillId="0" borderId="6" xfId="0" applyFont="1" applyFill="1" applyBorder="1" applyAlignment="1" applyProtection="1">
      <alignment/>
      <protection hidden="1"/>
    </xf>
    <xf numFmtId="0" fontId="0" fillId="0" borderId="6" xfId="0" applyFill="1" applyBorder="1" applyAlignment="1" applyProtection="1">
      <alignment/>
      <protection hidden="1"/>
    </xf>
    <xf numFmtId="0" fontId="13" fillId="0" borderId="6" xfId="0" applyFont="1" applyFill="1" applyBorder="1" applyAlignment="1" applyProtection="1">
      <alignment horizontal="left"/>
      <protection hidden="1"/>
    </xf>
    <xf numFmtId="196" fontId="12" fillId="0" borderId="5" xfId="0" applyNumberFormat="1" applyFont="1" applyFill="1" applyBorder="1" applyAlignment="1" applyProtection="1">
      <alignment/>
      <protection hidden="1"/>
    </xf>
    <xf numFmtId="2" fontId="14" fillId="0" borderId="6" xfId="0" applyNumberFormat="1" applyFont="1" applyFill="1" applyBorder="1" applyAlignment="1" applyProtection="1">
      <alignment/>
      <protection hidden="1"/>
    </xf>
    <xf numFmtId="0" fontId="9" fillId="0" borderId="4" xfId="0" applyFont="1" applyFill="1" applyBorder="1" applyAlignment="1" applyProtection="1">
      <alignment/>
      <protection hidden="1"/>
    </xf>
    <xf numFmtId="0" fontId="13" fillId="0" borderId="4" xfId="0" applyFont="1" applyFill="1" applyBorder="1" applyAlignment="1" applyProtection="1">
      <alignment horizontal="left"/>
      <protection hidden="1"/>
    </xf>
    <xf numFmtId="0" fontId="14" fillId="0" borderId="7" xfId="0" applyFont="1" applyFill="1" applyBorder="1" applyAlignment="1" applyProtection="1">
      <alignment horizontal="right"/>
      <protection hidden="1"/>
    </xf>
    <xf numFmtId="196" fontId="12" fillId="0" borderId="23" xfId="0" applyNumberFormat="1" applyFont="1" applyFill="1" applyBorder="1" applyAlignment="1" applyProtection="1">
      <alignment horizontal="center"/>
      <protection hidden="1"/>
    </xf>
    <xf numFmtId="0" fontId="32" fillId="0" borderId="8" xfId="0" applyFont="1" applyFill="1" applyBorder="1" applyAlignment="1" applyProtection="1">
      <alignment/>
      <protection hidden="1"/>
    </xf>
    <xf numFmtId="0" fontId="0" fillId="0" borderId="7" xfId="0" applyFill="1" applyBorder="1" applyAlignment="1" applyProtection="1">
      <alignment/>
      <protection hidden="1"/>
    </xf>
    <xf numFmtId="0" fontId="0" fillId="0" borderId="0" xfId="0" applyFill="1" applyBorder="1" applyAlignment="1" applyProtection="1">
      <alignment horizontal="center"/>
      <protection hidden="1"/>
    </xf>
    <xf numFmtId="0" fontId="0" fillId="0" borderId="8" xfId="0" applyFill="1" applyBorder="1" applyAlignment="1" applyProtection="1">
      <alignment/>
      <protection hidden="1"/>
    </xf>
    <xf numFmtId="0" fontId="32" fillId="0" borderId="0" xfId="0" applyFont="1" applyFill="1" applyBorder="1" applyAlignment="1" applyProtection="1">
      <alignment/>
      <protection hidden="1"/>
    </xf>
    <xf numFmtId="0" fontId="31" fillId="0" borderId="1" xfId="0" applyFont="1" applyFill="1" applyBorder="1" applyAlignment="1" applyProtection="1">
      <alignment/>
      <protection hidden="1"/>
    </xf>
    <xf numFmtId="0" fontId="31" fillId="0" borderId="2" xfId="0" applyFont="1" applyFill="1" applyBorder="1" applyAlignment="1" applyProtection="1">
      <alignment/>
      <protection hidden="1"/>
    </xf>
    <xf numFmtId="0" fontId="0" fillId="0" borderId="13" xfId="0" applyFill="1" applyBorder="1" applyAlignment="1" applyProtection="1">
      <alignment/>
      <protection hidden="1"/>
    </xf>
    <xf numFmtId="0" fontId="14" fillId="0" borderId="5" xfId="0" applyFont="1" applyFill="1" applyBorder="1" applyAlignment="1" applyProtection="1">
      <alignment/>
      <protection hidden="1"/>
    </xf>
    <xf numFmtId="0" fontId="34" fillId="0" borderId="6" xfId="0" applyFont="1" applyFill="1" applyBorder="1" applyAlignment="1" applyProtection="1">
      <alignment horizontal="right"/>
      <protection hidden="1"/>
    </xf>
    <xf numFmtId="0" fontId="35" fillId="0" borderId="6" xfId="0" applyFont="1" applyFill="1" applyBorder="1" applyAlignment="1" applyProtection="1">
      <alignment horizontal="center"/>
      <protection hidden="1"/>
    </xf>
    <xf numFmtId="0" fontId="14" fillId="0" borderId="6" xfId="0" applyFont="1" applyFill="1" applyBorder="1" applyAlignment="1" applyProtection="1">
      <alignment horizontal="left"/>
      <protection hidden="1"/>
    </xf>
    <xf numFmtId="0" fontId="14" fillId="0" borderId="14" xfId="0" applyFont="1" applyFill="1" applyBorder="1" applyAlignment="1" applyProtection="1">
      <alignment/>
      <protection hidden="1"/>
    </xf>
    <xf numFmtId="0" fontId="14" fillId="0" borderId="7" xfId="0" applyFont="1" applyFill="1" applyBorder="1" applyAlignment="1" applyProtection="1">
      <alignment/>
      <protection hidden="1"/>
    </xf>
    <xf numFmtId="0" fontId="19" fillId="0" borderId="0" xfId="0" applyFont="1" applyFill="1" applyBorder="1" applyAlignment="1" applyProtection="1">
      <alignment horizontal="right"/>
      <protection hidden="1"/>
    </xf>
    <xf numFmtId="196" fontId="12" fillId="0" borderId="23" xfId="0" applyNumberFormat="1" applyFont="1" applyFill="1" applyBorder="1" applyAlignment="1" applyProtection="1">
      <alignment horizontal="center"/>
      <protection hidden="1"/>
    </xf>
    <xf numFmtId="0" fontId="9" fillId="0" borderId="0" xfId="0" applyFont="1" applyFill="1" applyBorder="1" applyAlignment="1" applyProtection="1">
      <alignment/>
      <protection hidden="1"/>
    </xf>
    <xf numFmtId="0" fontId="33" fillId="0" borderId="1" xfId="0" applyFont="1" applyFill="1" applyBorder="1" applyAlignment="1" applyProtection="1">
      <alignment/>
      <protection hidden="1"/>
    </xf>
    <xf numFmtId="0" fontId="33" fillId="0" borderId="2" xfId="0" applyFont="1" applyFill="1" applyBorder="1" applyAlignment="1" applyProtection="1">
      <alignment/>
      <protection hidden="1"/>
    </xf>
    <xf numFmtId="196" fontId="12" fillId="0" borderId="2" xfId="0" applyNumberFormat="1" applyFont="1" applyFill="1" applyBorder="1" applyAlignment="1" applyProtection="1">
      <alignment/>
      <protection hidden="1"/>
    </xf>
    <xf numFmtId="0" fontId="14" fillId="0" borderId="2" xfId="0" applyFont="1" applyFill="1" applyBorder="1" applyAlignment="1" applyProtection="1">
      <alignment horizontal="left"/>
      <protection hidden="1"/>
    </xf>
    <xf numFmtId="2" fontId="13" fillId="0" borderId="8" xfId="0" applyNumberFormat="1" applyFont="1" applyFill="1" applyBorder="1" applyAlignment="1" applyProtection="1">
      <alignment horizontal="center"/>
      <protection hidden="1"/>
    </xf>
    <xf numFmtId="2" fontId="13" fillId="0" borderId="7" xfId="0" applyNumberFormat="1" applyFont="1" applyFill="1" applyBorder="1" applyAlignment="1" applyProtection="1">
      <alignment horizontal="right"/>
      <protection hidden="1"/>
    </xf>
    <xf numFmtId="2" fontId="13" fillId="0" borderId="0" xfId="0" applyNumberFormat="1" applyFont="1" applyFill="1" applyBorder="1" applyAlignment="1" applyProtection="1">
      <alignment horizontal="left"/>
      <protection hidden="1"/>
    </xf>
    <xf numFmtId="196" fontId="12" fillId="0" borderId="0" xfId="0" applyNumberFormat="1" applyFont="1" applyFill="1" applyBorder="1" applyAlignment="1" applyProtection="1">
      <alignment/>
      <protection hidden="1"/>
    </xf>
    <xf numFmtId="0" fontId="30" fillId="0" borderId="0" xfId="0" applyFont="1" applyFill="1" applyBorder="1" applyAlignment="1" applyProtection="1">
      <alignment horizontal="left"/>
      <protection hidden="1"/>
    </xf>
    <xf numFmtId="196" fontId="13" fillId="0" borderId="7" xfId="0" applyNumberFormat="1" applyFont="1" applyFill="1" applyBorder="1" applyAlignment="1" applyProtection="1">
      <alignment horizontal="right"/>
      <protection hidden="1"/>
    </xf>
    <xf numFmtId="0" fontId="30" fillId="0" borderId="2" xfId="0" applyFont="1" applyFill="1" applyBorder="1" applyAlignment="1" applyProtection="1">
      <alignment horizontal="left"/>
      <protection hidden="1"/>
    </xf>
    <xf numFmtId="0" fontId="9" fillId="7" borderId="0" xfId="0" applyFont="1" applyFill="1" applyBorder="1" applyAlignment="1" applyProtection="1">
      <alignment/>
      <protection hidden="1"/>
    </xf>
    <xf numFmtId="0" fontId="9" fillId="7" borderId="0" xfId="0" applyFont="1" applyFill="1" applyAlignment="1" applyProtection="1">
      <alignment/>
      <protection hidden="1"/>
    </xf>
    <xf numFmtId="0" fontId="23" fillId="8" borderId="0" xfId="0" applyFont="1" applyFill="1" applyBorder="1" applyAlignment="1" applyProtection="1">
      <alignment/>
      <protection hidden="1"/>
    </xf>
    <xf numFmtId="0" fontId="23" fillId="8" borderId="0" xfId="0" applyFont="1" applyFill="1" applyAlignment="1" applyProtection="1">
      <alignment/>
      <protection hidden="1"/>
    </xf>
    <xf numFmtId="0" fontId="9" fillId="8" borderId="0" xfId="0" applyFont="1" applyFill="1" applyBorder="1" applyAlignment="1" applyProtection="1">
      <alignment/>
      <protection hidden="1"/>
    </xf>
    <xf numFmtId="0" fontId="9" fillId="8" borderId="0" xfId="0" applyFont="1" applyFill="1" applyAlignment="1" applyProtection="1">
      <alignment/>
      <protection hidden="1"/>
    </xf>
    <xf numFmtId="0" fontId="13" fillId="8" borderId="0" xfId="0" applyFont="1" applyFill="1" applyAlignment="1" applyProtection="1">
      <alignment/>
      <protection hidden="1"/>
    </xf>
    <xf numFmtId="0" fontId="9" fillId="9" borderId="0" xfId="0" applyFont="1" applyFill="1" applyAlignment="1" applyProtection="1">
      <alignment/>
      <protection hidden="1"/>
    </xf>
    <xf numFmtId="0" fontId="13" fillId="9" borderId="0" xfId="0" applyFont="1" applyFill="1" applyAlignment="1" applyProtection="1">
      <alignment/>
      <protection hidden="1"/>
    </xf>
    <xf numFmtId="0" fontId="46" fillId="9" borderId="0" xfId="0" applyFont="1" applyFill="1" applyBorder="1" applyAlignment="1" applyProtection="1">
      <alignment horizontal="right"/>
      <protection hidden="1"/>
    </xf>
    <xf numFmtId="0" fontId="45" fillId="9" borderId="0" xfId="0" applyFont="1" applyFill="1" applyBorder="1" applyAlignment="1" applyProtection="1">
      <alignment horizontal="right"/>
      <protection hidden="1"/>
    </xf>
    <xf numFmtId="0" fontId="10" fillId="9" borderId="0" xfId="0" applyFont="1" applyFill="1" applyBorder="1" applyAlignment="1" applyProtection="1">
      <alignment horizontal="left"/>
      <protection hidden="1"/>
    </xf>
    <xf numFmtId="0" fontId="36" fillId="9" borderId="0" xfId="0" applyFont="1" applyFill="1" applyBorder="1" applyAlignment="1" applyProtection="1">
      <alignment/>
      <protection hidden="1"/>
    </xf>
    <xf numFmtId="0" fontId="36" fillId="9" borderId="0" xfId="0" applyFont="1" applyFill="1" applyBorder="1" applyAlignment="1" applyProtection="1">
      <alignment horizontal="right"/>
      <protection hidden="1"/>
    </xf>
    <xf numFmtId="0" fontId="23" fillId="9" borderId="0" xfId="0" applyFont="1" applyFill="1" applyBorder="1" applyAlignment="1" applyProtection="1">
      <alignment/>
      <protection hidden="1"/>
    </xf>
    <xf numFmtId="0" fontId="33" fillId="9" borderId="0" xfId="0" applyFont="1" applyFill="1" applyBorder="1" applyAlignment="1" applyProtection="1">
      <alignment/>
      <protection hidden="1"/>
    </xf>
    <xf numFmtId="0" fontId="33" fillId="9" borderId="0" xfId="0" applyFont="1" applyFill="1" applyBorder="1" applyAlignment="1" applyProtection="1">
      <alignment horizontal="right"/>
      <protection hidden="1"/>
    </xf>
    <xf numFmtId="0" fontId="9" fillId="9" borderId="0" xfId="0" applyFont="1" applyFill="1" applyBorder="1" applyAlignment="1" applyProtection="1">
      <alignment/>
      <protection hidden="1"/>
    </xf>
    <xf numFmtId="11" fontId="11" fillId="9" borderId="0" xfId="0" applyNumberFormat="1" applyFont="1" applyFill="1" applyBorder="1" applyAlignment="1" applyProtection="1">
      <alignment/>
      <protection hidden="1"/>
    </xf>
    <xf numFmtId="0" fontId="14" fillId="9" borderId="0" xfId="0" applyFont="1" applyFill="1" applyBorder="1" applyAlignment="1" applyProtection="1">
      <alignment horizontal="right"/>
      <protection hidden="1"/>
    </xf>
    <xf numFmtId="197" fontId="30" fillId="9" borderId="0" xfId="0" applyNumberFormat="1" applyFont="1" applyFill="1" applyBorder="1" applyAlignment="1" applyProtection="1">
      <alignment horizontal="center"/>
      <protection hidden="1"/>
    </xf>
    <xf numFmtId="0" fontId="14" fillId="9" borderId="0" xfId="0" applyFont="1" applyFill="1" applyBorder="1" applyAlignment="1" applyProtection="1">
      <alignment/>
      <protection hidden="1"/>
    </xf>
    <xf numFmtId="0" fontId="58" fillId="9" borderId="0" xfId="0" applyFont="1" applyFill="1" applyBorder="1" applyAlignment="1" applyProtection="1">
      <alignment horizontal="center"/>
      <protection hidden="1"/>
    </xf>
    <xf numFmtId="11" fontId="15" fillId="9" borderId="0" xfId="0" applyNumberFormat="1" applyFont="1" applyFill="1" applyBorder="1" applyAlignment="1" applyProtection="1">
      <alignment/>
      <protection hidden="1"/>
    </xf>
    <xf numFmtId="0" fontId="23" fillId="9" borderId="0" xfId="0" applyFont="1" applyFill="1" applyAlignment="1" applyProtection="1">
      <alignment/>
      <protection hidden="1"/>
    </xf>
    <xf numFmtId="0" fontId="5" fillId="9" borderId="0" xfId="0" applyFont="1" applyFill="1" applyBorder="1" applyAlignment="1" applyProtection="1">
      <alignment horizontal="right"/>
      <protection hidden="1"/>
    </xf>
    <xf numFmtId="0" fontId="4" fillId="9" borderId="0" xfId="0" applyFont="1" applyFill="1" applyBorder="1" applyAlignment="1" applyProtection="1">
      <alignment horizontal="center"/>
      <protection hidden="1"/>
    </xf>
    <xf numFmtId="0" fontId="5" fillId="9" borderId="0" xfId="0" applyFont="1" applyFill="1" applyBorder="1" applyAlignment="1" applyProtection="1">
      <alignment/>
      <protection hidden="1"/>
    </xf>
    <xf numFmtId="15" fontId="35" fillId="9" borderId="0" xfId="0" applyNumberFormat="1" applyFont="1" applyFill="1" applyBorder="1" applyAlignment="1" applyProtection="1">
      <alignment horizontal="left"/>
      <protection hidden="1"/>
    </xf>
    <xf numFmtId="0" fontId="30" fillId="9" borderId="0" xfId="0" applyFont="1" applyFill="1" applyBorder="1" applyAlignment="1" applyProtection="1">
      <alignment horizontal="center"/>
      <protection hidden="1"/>
    </xf>
    <xf numFmtId="0" fontId="22" fillId="9" borderId="0" xfId="0" applyFont="1" applyFill="1" applyBorder="1" applyAlignment="1" applyProtection="1">
      <alignment/>
      <protection hidden="1"/>
    </xf>
    <xf numFmtId="0" fontId="25" fillId="9" borderId="0" xfId="0" applyFont="1" applyFill="1" applyBorder="1" applyAlignment="1" applyProtection="1">
      <alignment horizontal="left"/>
      <protection hidden="1"/>
    </xf>
    <xf numFmtId="0" fontId="20" fillId="9" borderId="0" xfId="0" applyFont="1" applyFill="1" applyBorder="1" applyAlignment="1" applyProtection="1">
      <alignment/>
      <protection hidden="1"/>
    </xf>
    <xf numFmtId="0" fontId="25" fillId="9" borderId="0" xfId="0" applyFont="1" applyFill="1" applyBorder="1" applyAlignment="1" applyProtection="1">
      <alignment horizontal="center"/>
      <protection hidden="1"/>
    </xf>
    <xf numFmtId="0" fontId="26" fillId="9" borderId="0" xfId="0" applyFont="1" applyFill="1" applyBorder="1" applyAlignment="1" applyProtection="1">
      <alignment/>
      <protection hidden="1"/>
    </xf>
    <xf numFmtId="0" fontId="57" fillId="9" borderId="0" xfId="0" applyFont="1" applyFill="1" applyBorder="1" applyAlignment="1" applyProtection="1">
      <alignment horizontal="right"/>
      <protection hidden="1"/>
    </xf>
    <xf numFmtId="0" fontId="29" fillId="9" borderId="4" xfId="0" applyFont="1" applyFill="1" applyBorder="1" applyAlignment="1" applyProtection="1">
      <alignment/>
      <protection hidden="1"/>
    </xf>
    <xf numFmtId="0" fontId="9" fillId="9" borderId="4" xfId="0" applyFont="1" applyFill="1" applyBorder="1" applyAlignment="1" applyProtection="1">
      <alignment/>
      <protection hidden="1"/>
    </xf>
    <xf numFmtId="2" fontId="30" fillId="9" borderId="4" xfId="0" applyNumberFormat="1" applyFont="1" applyFill="1" applyBorder="1" applyAlignment="1" applyProtection="1">
      <alignment horizontal="right"/>
      <protection hidden="1"/>
    </xf>
    <xf numFmtId="0" fontId="20" fillId="9" borderId="4" xfId="0" applyFont="1" applyFill="1" applyBorder="1" applyAlignment="1" applyProtection="1">
      <alignment horizontal="left"/>
      <protection hidden="1"/>
    </xf>
    <xf numFmtId="0" fontId="19" fillId="9" borderId="4" xfId="0" applyFont="1" applyFill="1" applyBorder="1" applyAlignment="1" applyProtection="1">
      <alignment horizontal="left"/>
      <protection hidden="1"/>
    </xf>
    <xf numFmtId="0" fontId="14" fillId="9" borderId="4" xfId="0" applyFont="1" applyFill="1" applyBorder="1" applyAlignment="1" applyProtection="1">
      <alignment/>
      <protection hidden="1"/>
    </xf>
    <xf numFmtId="196" fontId="30" fillId="9" borderId="4" xfId="0" applyNumberFormat="1" applyFont="1" applyFill="1" applyBorder="1" applyAlignment="1" applyProtection="1">
      <alignment/>
      <protection hidden="1"/>
    </xf>
    <xf numFmtId="0" fontId="20" fillId="9" borderId="4" xfId="0" applyFont="1" applyFill="1" applyBorder="1" applyAlignment="1" applyProtection="1">
      <alignment/>
      <protection hidden="1"/>
    </xf>
    <xf numFmtId="0" fontId="9" fillId="9" borderId="4" xfId="0" applyFont="1" applyFill="1" applyBorder="1" applyAlignment="1" applyProtection="1">
      <alignment horizontal="left"/>
      <protection hidden="1"/>
    </xf>
    <xf numFmtId="0" fontId="13" fillId="9" borderId="4" xfId="0" applyFont="1" applyFill="1" applyBorder="1" applyAlignment="1" applyProtection="1">
      <alignment horizontal="right"/>
      <protection hidden="1"/>
    </xf>
    <xf numFmtId="0" fontId="9" fillId="9" borderId="0" xfId="0" applyFont="1" applyFill="1" applyBorder="1" applyAlignment="1" applyProtection="1">
      <alignment/>
      <protection hidden="1"/>
    </xf>
    <xf numFmtId="0" fontId="9" fillId="9" borderId="2" xfId="0" applyFont="1" applyFill="1" applyBorder="1" applyAlignment="1" applyProtection="1">
      <alignment/>
      <protection hidden="1"/>
    </xf>
    <xf numFmtId="2" fontId="30" fillId="9" borderId="2" xfId="0" applyNumberFormat="1" applyFont="1" applyFill="1" applyBorder="1" applyAlignment="1" applyProtection="1">
      <alignment horizontal="right"/>
      <protection hidden="1"/>
    </xf>
    <xf numFmtId="0" fontId="20" fillId="9" borderId="0" xfId="0" applyFont="1" applyFill="1" applyBorder="1" applyAlignment="1" applyProtection="1">
      <alignment horizontal="left"/>
      <protection hidden="1"/>
    </xf>
    <xf numFmtId="0" fontId="19" fillId="9" borderId="2" xfId="0" applyFont="1" applyFill="1" applyBorder="1" applyAlignment="1" applyProtection="1">
      <alignment horizontal="left"/>
      <protection hidden="1"/>
    </xf>
    <xf numFmtId="2" fontId="30" fillId="9" borderId="2" xfId="0" applyNumberFormat="1" applyFont="1" applyFill="1" applyBorder="1" applyAlignment="1" applyProtection="1">
      <alignment/>
      <protection hidden="1"/>
    </xf>
    <xf numFmtId="0" fontId="20" fillId="9" borderId="2" xfId="0" applyFont="1" applyFill="1" applyBorder="1" applyAlignment="1" applyProtection="1">
      <alignment/>
      <protection hidden="1"/>
    </xf>
    <xf numFmtId="0" fontId="9" fillId="9" borderId="2" xfId="0" applyFont="1" applyFill="1" applyBorder="1" applyAlignment="1" applyProtection="1">
      <alignment horizontal="left"/>
      <protection hidden="1"/>
    </xf>
    <xf numFmtId="0" fontId="13" fillId="9" borderId="2" xfId="0" applyFont="1" applyFill="1" applyBorder="1" applyAlignment="1" applyProtection="1">
      <alignment horizontal="right"/>
      <protection hidden="1"/>
    </xf>
    <xf numFmtId="0" fontId="20" fillId="9" borderId="6" xfId="0" applyFont="1" applyFill="1" applyBorder="1" applyAlignment="1" applyProtection="1">
      <alignment horizontal="left"/>
      <protection hidden="1"/>
    </xf>
    <xf numFmtId="2" fontId="30" fillId="9" borderId="4" xfId="0" applyNumberFormat="1" applyFont="1" applyFill="1" applyBorder="1" applyAlignment="1" applyProtection="1">
      <alignment/>
      <protection hidden="1"/>
    </xf>
    <xf numFmtId="0" fontId="29" fillId="9" borderId="2" xfId="0" applyFont="1" applyFill="1" applyBorder="1" applyAlignment="1" applyProtection="1">
      <alignment/>
      <protection hidden="1"/>
    </xf>
    <xf numFmtId="0" fontId="38" fillId="9" borderId="7" xfId="0" applyFont="1" applyFill="1" applyBorder="1" applyAlignment="1" applyProtection="1">
      <alignment horizontal="right"/>
      <protection hidden="1"/>
    </xf>
    <xf numFmtId="0" fontId="38" fillId="9" borderId="0" xfId="0" applyFont="1" applyFill="1" applyBorder="1" applyAlignment="1" applyProtection="1">
      <alignment horizontal="right"/>
      <protection hidden="1"/>
    </xf>
    <xf numFmtId="0" fontId="29" fillId="9" borderId="6" xfId="0" applyFont="1" applyFill="1" applyBorder="1" applyAlignment="1" applyProtection="1">
      <alignment/>
      <protection hidden="1"/>
    </xf>
    <xf numFmtId="0" fontId="37" fillId="9" borderId="0" xfId="0" applyFont="1" applyFill="1" applyBorder="1" applyAlignment="1" applyProtection="1">
      <alignment/>
      <protection hidden="1"/>
    </xf>
    <xf numFmtId="0" fontId="13" fillId="9" borderId="0" xfId="0" applyFont="1" applyFill="1" applyBorder="1" applyAlignment="1" applyProtection="1">
      <alignment/>
      <protection hidden="1"/>
    </xf>
    <xf numFmtId="2" fontId="30" fillId="9" borderId="0" xfId="0" applyNumberFormat="1" applyFont="1" applyFill="1" applyBorder="1" applyAlignment="1" applyProtection="1">
      <alignment horizontal="right"/>
      <protection hidden="1"/>
    </xf>
    <xf numFmtId="0" fontId="19" fillId="9" borderId="0" xfId="0" applyFont="1" applyFill="1" applyBorder="1" applyAlignment="1" applyProtection="1">
      <alignment horizontal="left"/>
      <protection hidden="1"/>
    </xf>
    <xf numFmtId="196" fontId="30" fillId="9" borderId="0" xfId="0" applyNumberFormat="1" applyFont="1" applyFill="1" applyBorder="1" applyAlignment="1" applyProtection="1">
      <alignment/>
      <protection hidden="1"/>
    </xf>
    <xf numFmtId="0" fontId="9" fillId="9" borderId="0" xfId="0" applyFont="1" applyFill="1" applyBorder="1" applyAlignment="1" applyProtection="1">
      <alignment horizontal="left"/>
      <protection hidden="1"/>
    </xf>
    <xf numFmtId="2" fontId="30" fillId="9" borderId="0" xfId="0" applyNumberFormat="1" applyFont="1" applyFill="1" applyBorder="1" applyAlignment="1" applyProtection="1">
      <alignment/>
      <protection hidden="1"/>
    </xf>
    <xf numFmtId="0" fontId="9" fillId="9" borderId="6" xfId="0" applyFont="1" applyFill="1" applyBorder="1" applyAlignment="1" applyProtection="1">
      <alignment/>
      <protection hidden="1"/>
    </xf>
    <xf numFmtId="2" fontId="30" fillId="9" borderId="6" xfId="0" applyNumberFormat="1" applyFont="1" applyFill="1" applyBorder="1" applyAlignment="1" applyProtection="1">
      <alignment horizontal="right"/>
      <protection hidden="1"/>
    </xf>
    <xf numFmtId="0" fontId="19" fillId="9" borderId="6" xfId="0" applyFont="1" applyFill="1" applyBorder="1" applyAlignment="1" applyProtection="1">
      <alignment horizontal="left"/>
      <protection hidden="1"/>
    </xf>
    <xf numFmtId="2" fontId="30" fillId="9" borderId="6" xfId="0" applyNumberFormat="1" applyFont="1" applyFill="1" applyBorder="1" applyAlignment="1" applyProtection="1">
      <alignment/>
      <protection hidden="1"/>
    </xf>
    <xf numFmtId="0" fontId="20" fillId="9" borderId="6" xfId="0" applyFont="1" applyFill="1" applyBorder="1" applyAlignment="1" applyProtection="1">
      <alignment/>
      <protection hidden="1"/>
    </xf>
    <xf numFmtId="0" fontId="9" fillId="9" borderId="6" xfId="0" applyFont="1" applyFill="1" applyBorder="1" applyAlignment="1" applyProtection="1">
      <alignment horizontal="left"/>
      <protection hidden="1"/>
    </xf>
    <xf numFmtId="0" fontId="19" fillId="9" borderId="0" xfId="0" applyFont="1" applyFill="1" applyBorder="1" applyAlignment="1" applyProtection="1">
      <alignment/>
      <protection hidden="1"/>
    </xf>
    <xf numFmtId="2" fontId="12" fillId="9" borderId="0" xfId="0" applyNumberFormat="1" applyFont="1" applyFill="1" applyBorder="1" applyAlignment="1" applyProtection="1">
      <alignment/>
      <protection hidden="1"/>
    </xf>
    <xf numFmtId="0" fontId="9" fillId="9" borderId="0" xfId="0" applyFont="1" applyFill="1" applyBorder="1" applyAlignment="1" applyProtection="1">
      <alignment horizontal="center"/>
      <protection hidden="1"/>
    </xf>
    <xf numFmtId="0" fontId="29" fillId="9" borderId="0" xfId="0" applyFont="1" applyFill="1" applyBorder="1" applyAlignment="1" applyProtection="1">
      <alignment/>
      <protection hidden="1"/>
    </xf>
    <xf numFmtId="0" fontId="9" fillId="9" borderId="0" xfId="0" applyFont="1" applyFill="1" applyAlignment="1" applyProtection="1">
      <alignment horizontal="left"/>
      <protection hidden="1"/>
    </xf>
    <xf numFmtId="0" fontId="13" fillId="9" borderId="4" xfId="0" applyFont="1" applyFill="1" applyBorder="1" applyAlignment="1" applyProtection="1">
      <alignment/>
      <protection hidden="1"/>
    </xf>
    <xf numFmtId="2" fontId="12" fillId="9" borderId="4" xfId="0" applyNumberFormat="1" applyFont="1" applyFill="1" applyBorder="1" applyAlignment="1" applyProtection="1">
      <alignment horizontal="right"/>
      <protection hidden="1"/>
    </xf>
    <xf numFmtId="0" fontId="30" fillId="9" borderId="4" xfId="0" applyFont="1" applyFill="1" applyBorder="1" applyAlignment="1" applyProtection="1">
      <alignment/>
      <protection hidden="1"/>
    </xf>
    <xf numFmtId="2" fontId="20" fillId="9" borderId="4" xfId="0" applyNumberFormat="1" applyFont="1" applyFill="1" applyBorder="1" applyAlignment="1" applyProtection="1">
      <alignment/>
      <protection hidden="1"/>
    </xf>
    <xf numFmtId="0" fontId="13" fillId="9" borderId="2" xfId="0" applyFont="1" applyFill="1" applyBorder="1" applyAlignment="1" applyProtection="1">
      <alignment/>
      <protection hidden="1"/>
    </xf>
    <xf numFmtId="0" fontId="31" fillId="9" borderId="2" xfId="0" applyFont="1" applyFill="1" applyBorder="1" applyAlignment="1" applyProtection="1">
      <alignment/>
      <protection hidden="1"/>
    </xf>
    <xf numFmtId="2" fontId="12" fillId="9" borderId="2" xfId="0" applyNumberFormat="1" applyFont="1" applyFill="1" applyBorder="1" applyAlignment="1" applyProtection="1">
      <alignment/>
      <protection hidden="1"/>
    </xf>
    <xf numFmtId="0" fontId="30" fillId="9" borderId="2" xfId="0" applyFont="1" applyFill="1" applyBorder="1" applyAlignment="1" applyProtection="1">
      <alignment/>
      <protection hidden="1"/>
    </xf>
    <xf numFmtId="1" fontId="20" fillId="9" borderId="2" xfId="0" applyNumberFormat="1" applyFont="1" applyFill="1" applyBorder="1" applyAlignment="1" applyProtection="1">
      <alignment/>
      <protection hidden="1"/>
    </xf>
    <xf numFmtId="2" fontId="12" fillId="9" borderId="0" xfId="0" applyNumberFormat="1" applyFont="1" applyFill="1" applyBorder="1" applyAlignment="1" applyProtection="1">
      <alignment horizontal="right"/>
      <protection hidden="1"/>
    </xf>
    <xf numFmtId="0" fontId="30" fillId="9" borderId="0" xfId="0" applyFont="1" applyFill="1" applyBorder="1" applyAlignment="1" applyProtection="1">
      <alignment/>
      <protection hidden="1"/>
    </xf>
    <xf numFmtId="2" fontId="14" fillId="9" borderId="0" xfId="0" applyNumberFormat="1" applyFont="1" applyFill="1" applyBorder="1" applyAlignment="1" applyProtection="1">
      <alignment horizontal="right"/>
      <protection hidden="1"/>
    </xf>
    <xf numFmtId="0" fontId="13" fillId="9" borderId="2" xfId="0" applyFont="1" applyFill="1" applyBorder="1" applyAlignment="1" applyProtection="1">
      <alignment horizontal="left"/>
      <protection hidden="1"/>
    </xf>
    <xf numFmtId="0" fontId="13" fillId="9" borderId="0" xfId="0" applyFont="1" applyFill="1" applyBorder="1" applyAlignment="1" applyProtection="1">
      <alignment horizontal="right"/>
      <protection hidden="1"/>
    </xf>
    <xf numFmtId="0" fontId="13" fillId="9" borderId="8" xfId="0" applyFont="1" applyFill="1" applyBorder="1" applyAlignment="1" applyProtection="1">
      <alignment horizontal="right"/>
      <protection hidden="1"/>
    </xf>
    <xf numFmtId="2" fontId="30" fillId="9" borderId="7" xfId="0" applyNumberFormat="1" applyFont="1" applyFill="1" applyBorder="1" applyAlignment="1" applyProtection="1">
      <alignment/>
      <protection hidden="1"/>
    </xf>
    <xf numFmtId="0" fontId="20" fillId="9" borderId="8" xfId="0" applyFont="1" applyFill="1" applyBorder="1" applyAlignment="1" applyProtection="1">
      <alignment/>
      <protection hidden="1"/>
    </xf>
    <xf numFmtId="2" fontId="30" fillId="9" borderId="7" xfId="0" applyNumberFormat="1" applyFont="1" applyFill="1" applyBorder="1" applyAlignment="1" applyProtection="1">
      <alignment horizontal="right"/>
      <protection hidden="1"/>
    </xf>
    <xf numFmtId="0" fontId="46" fillId="3" borderId="18" xfId="0" applyFont="1" applyFill="1" applyBorder="1" applyAlignment="1" applyProtection="1">
      <alignment/>
      <protection hidden="1"/>
    </xf>
    <xf numFmtId="0" fontId="61" fillId="2" borderId="0" xfId="0" applyFont="1" applyFill="1" applyBorder="1" applyAlignment="1" applyProtection="1">
      <alignment horizontal="right"/>
      <protection hidden="1"/>
    </xf>
    <xf numFmtId="0" fontId="62" fillId="2" borderId="0" xfId="0" applyFont="1" applyFill="1" applyAlignment="1" applyProtection="1">
      <alignment horizontal="right"/>
      <protection hidden="1"/>
    </xf>
    <xf numFmtId="0" fontId="61" fillId="2" borderId="0" xfId="0" applyFont="1" applyFill="1" applyAlignment="1" applyProtection="1">
      <alignment horizontal="right"/>
      <protection hidden="1"/>
    </xf>
    <xf numFmtId="0" fontId="9" fillId="0" borderId="14" xfId="0" applyFont="1" applyFill="1" applyBorder="1" applyAlignment="1" applyProtection="1">
      <alignment horizontal="right"/>
      <protection hidden="1"/>
    </xf>
    <xf numFmtId="0" fontId="9" fillId="0" borderId="13" xfId="0" applyFont="1" applyFill="1" applyBorder="1" applyAlignment="1" applyProtection="1">
      <alignment horizontal="right"/>
      <protection hidden="1"/>
    </xf>
    <xf numFmtId="0" fontId="9" fillId="4" borderId="0" xfId="0" applyFont="1" applyFill="1" applyBorder="1" applyAlignment="1" applyProtection="1">
      <alignment horizontal="right"/>
      <protection hidden="1"/>
    </xf>
    <xf numFmtId="0" fontId="46" fillId="3" borderId="26" xfId="0" applyFont="1" applyFill="1" applyBorder="1" applyAlignment="1" applyProtection="1">
      <alignment horizontal="right"/>
      <protection hidden="1" locked="0"/>
    </xf>
    <xf numFmtId="0" fontId="29" fillId="7" borderId="4" xfId="0" applyFont="1" applyFill="1" applyBorder="1" applyAlignment="1" applyProtection="1">
      <alignment/>
      <protection hidden="1"/>
    </xf>
    <xf numFmtId="0" fontId="9" fillId="7" borderId="4" xfId="0" applyFont="1" applyFill="1" applyBorder="1" applyAlignment="1" applyProtection="1">
      <alignment/>
      <protection hidden="1"/>
    </xf>
    <xf numFmtId="0" fontId="20" fillId="7" borderId="4" xfId="0" applyFont="1" applyFill="1" applyBorder="1" applyAlignment="1" applyProtection="1">
      <alignment horizontal="left"/>
      <protection hidden="1"/>
    </xf>
    <xf numFmtId="0" fontId="13" fillId="7" borderId="4" xfId="0" applyFont="1" applyFill="1" applyBorder="1" applyAlignment="1" applyProtection="1">
      <alignment/>
      <protection hidden="1"/>
    </xf>
    <xf numFmtId="0" fontId="13" fillId="7" borderId="4" xfId="0" applyFont="1" applyFill="1" applyBorder="1" applyAlignment="1" applyProtection="1">
      <alignment horizontal="right"/>
      <protection hidden="1"/>
    </xf>
    <xf numFmtId="0" fontId="20" fillId="0" borderId="4" xfId="0" applyFont="1" applyFill="1" applyBorder="1" applyAlignment="1" applyProtection="1">
      <alignment horizontal="left"/>
      <protection hidden="1"/>
    </xf>
    <xf numFmtId="0" fontId="20" fillId="0" borderId="4" xfId="0" applyFont="1" applyFill="1" applyBorder="1" applyAlignment="1" applyProtection="1">
      <alignment horizontal="right"/>
      <protection hidden="1"/>
    </xf>
    <xf numFmtId="0" fontId="20" fillId="7" borderId="4" xfId="0" applyFont="1" applyFill="1" applyBorder="1" applyAlignment="1" applyProtection="1">
      <alignment horizontal="right"/>
      <protection hidden="1"/>
    </xf>
    <xf numFmtId="0" fontId="38" fillId="0" borderId="15" xfId="0" applyFont="1" applyFill="1" applyBorder="1" applyAlignment="1" applyProtection="1">
      <alignment/>
      <protection hidden="1"/>
    </xf>
    <xf numFmtId="0" fontId="43" fillId="0" borderId="3" xfId="0" applyFont="1" applyFill="1" applyBorder="1" applyAlignment="1" applyProtection="1">
      <alignment/>
      <protection hidden="1"/>
    </xf>
    <xf numFmtId="0" fontId="43" fillId="0" borderId="4" xfId="0" applyFont="1" applyFill="1" applyBorder="1" applyAlignment="1" applyProtection="1">
      <alignment horizontal="left"/>
      <protection hidden="1"/>
    </xf>
    <xf numFmtId="0" fontId="13" fillId="0" borderId="3" xfId="0" applyFont="1" applyFill="1" applyBorder="1" applyAlignment="1" applyProtection="1">
      <alignment/>
      <protection hidden="1"/>
    </xf>
    <xf numFmtId="0" fontId="63" fillId="0" borderId="4" xfId="0" applyFont="1" applyFill="1" applyBorder="1" applyAlignment="1" applyProtection="1">
      <alignment horizontal="left"/>
      <protection hidden="1"/>
    </xf>
    <xf numFmtId="0" fontId="64" fillId="0" borderId="4" xfId="0" applyFont="1" applyFill="1" applyBorder="1" applyAlignment="1" applyProtection="1">
      <alignment horizontal="center"/>
      <protection hidden="1"/>
    </xf>
    <xf numFmtId="0" fontId="64" fillId="0" borderId="4" xfId="0" applyFont="1" applyFill="1" applyBorder="1" applyAlignment="1" applyProtection="1">
      <alignment/>
      <protection hidden="1"/>
    </xf>
    <xf numFmtId="0" fontId="64" fillId="0" borderId="15" xfId="0" applyFont="1" applyFill="1" applyBorder="1" applyAlignment="1" applyProtection="1">
      <alignment/>
      <protection hidden="1"/>
    </xf>
    <xf numFmtId="0" fontId="64" fillId="0" borderId="3" xfId="0" applyFont="1" applyFill="1" applyBorder="1" applyAlignment="1" applyProtection="1">
      <alignment/>
      <protection hidden="1"/>
    </xf>
    <xf numFmtId="0" fontId="64" fillId="0" borderId="15" xfId="0" applyFont="1" applyFill="1" applyBorder="1" applyAlignment="1" applyProtection="1">
      <alignment horizontal="right"/>
      <protection hidden="1"/>
    </xf>
    <xf numFmtId="0" fontId="30" fillId="0" borderId="4" xfId="0" applyFont="1" applyFill="1" applyBorder="1" applyAlignment="1" applyProtection="1">
      <alignment horizontal="right"/>
      <protection hidden="1"/>
    </xf>
    <xf numFmtId="0" fontId="38" fillId="0" borderId="4" xfId="0" applyFont="1" applyFill="1" applyBorder="1" applyAlignment="1" applyProtection="1">
      <alignment horizontal="left"/>
      <protection hidden="1"/>
    </xf>
    <xf numFmtId="0" fontId="64" fillId="7" borderId="0" xfId="0" applyFont="1" applyFill="1" applyAlignment="1" applyProtection="1">
      <alignment/>
      <protection hidden="1"/>
    </xf>
    <xf numFmtId="0" fontId="44" fillId="10" borderId="3" xfId="0" applyFont="1" applyFill="1" applyBorder="1" applyAlignment="1" applyProtection="1">
      <alignment/>
      <protection hidden="1"/>
    </xf>
    <xf numFmtId="0" fontId="26" fillId="10" borderId="4" xfId="0" applyFont="1" applyFill="1" applyBorder="1" applyAlignment="1" applyProtection="1">
      <alignment/>
      <protection hidden="1"/>
    </xf>
    <xf numFmtId="0" fontId="13" fillId="0" borderId="15" xfId="0" applyFont="1" applyFill="1" applyBorder="1" applyAlignment="1" applyProtection="1">
      <alignment horizontal="left"/>
      <protection hidden="1"/>
    </xf>
    <xf numFmtId="0" fontId="38" fillId="0" borderId="15" xfId="0" applyFont="1" applyFill="1" applyBorder="1" applyAlignment="1" applyProtection="1">
      <alignment horizontal="right"/>
      <protection hidden="1"/>
    </xf>
    <xf numFmtId="0" fontId="13" fillId="0" borderId="0" xfId="0" applyFont="1" applyAlignment="1" applyProtection="1">
      <alignment/>
      <protection hidden="1"/>
    </xf>
    <xf numFmtId="0" fontId="30" fillId="0" borderId="3" xfId="0" applyFont="1" applyFill="1" applyBorder="1" applyAlignment="1" applyProtection="1">
      <alignment/>
      <protection hidden="1"/>
    </xf>
    <xf numFmtId="0" fontId="30" fillId="0" borderId="4" xfId="0" applyFont="1" applyFill="1" applyBorder="1" applyAlignment="1" applyProtection="1">
      <alignment horizontal="center"/>
      <protection hidden="1"/>
    </xf>
    <xf numFmtId="0" fontId="30" fillId="0" borderId="4" xfId="0" applyFont="1" applyFill="1" applyBorder="1" applyAlignment="1" applyProtection="1">
      <alignment horizontal="left"/>
      <protection hidden="1"/>
    </xf>
    <xf numFmtId="196" fontId="30" fillId="0" borderId="15" xfId="0" applyNumberFormat="1" applyFont="1" applyFill="1" applyBorder="1" applyAlignment="1" applyProtection="1">
      <alignment horizontal="left"/>
      <protection hidden="1"/>
    </xf>
    <xf numFmtId="196" fontId="30" fillId="0" borderId="3" xfId="0" applyNumberFormat="1" applyFont="1" applyFill="1" applyBorder="1" applyAlignment="1" applyProtection="1">
      <alignment/>
      <protection hidden="1"/>
    </xf>
    <xf numFmtId="0" fontId="30" fillId="0" borderId="15" xfId="0" applyFont="1" applyFill="1" applyBorder="1" applyAlignment="1" applyProtection="1">
      <alignment horizontal="left"/>
      <protection hidden="1"/>
    </xf>
    <xf numFmtId="196" fontId="30" fillId="0" borderId="4" xfId="0" applyNumberFormat="1" applyFont="1" applyFill="1" applyBorder="1" applyAlignment="1" applyProtection="1">
      <alignment/>
      <protection hidden="1"/>
    </xf>
    <xf numFmtId="0" fontId="30" fillId="7" borderId="4" xfId="0" applyFont="1" applyFill="1" applyBorder="1" applyAlignment="1" applyProtection="1">
      <alignment/>
      <protection hidden="1"/>
    </xf>
    <xf numFmtId="0" fontId="23" fillId="7" borderId="0" xfId="0" applyFont="1" applyFill="1" applyBorder="1" applyAlignment="1" applyProtection="1">
      <alignment/>
      <protection hidden="1"/>
    </xf>
    <xf numFmtId="0" fontId="10" fillId="4" borderId="0" xfId="0" applyFont="1" applyFill="1" applyBorder="1" applyAlignment="1" applyProtection="1">
      <alignment horizontal="left"/>
      <protection hidden="1"/>
    </xf>
    <xf numFmtId="0" fontId="23" fillId="4" borderId="0" xfId="0" applyFont="1" applyFill="1" applyBorder="1" applyAlignment="1" applyProtection="1">
      <alignment/>
      <protection hidden="1"/>
    </xf>
    <xf numFmtId="0" fontId="36" fillId="4" borderId="0" xfId="0" applyFont="1" applyFill="1" applyBorder="1" applyAlignment="1" applyProtection="1">
      <alignment/>
      <protection hidden="1"/>
    </xf>
    <xf numFmtId="0" fontId="36" fillId="4" borderId="0" xfId="0" applyFont="1" applyFill="1" applyBorder="1" applyAlignment="1" applyProtection="1">
      <alignment horizontal="right"/>
      <protection hidden="1"/>
    </xf>
    <xf numFmtId="0" fontId="33" fillId="4" borderId="0" xfId="0" applyFont="1" applyFill="1" applyBorder="1" applyAlignment="1" applyProtection="1">
      <alignment/>
      <protection hidden="1"/>
    </xf>
    <xf numFmtId="0" fontId="33" fillId="4" borderId="0" xfId="0" applyFont="1" applyFill="1" applyBorder="1" applyAlignment="1" applyProtection="1">
      <alignment horizontal="right"/>
      <protection hidden="1"/>
    </xf>
    <xf numFmtId="0" fontId="23" fillId="0" borderId="0" xfId="0" applyFont="1" applyFill="1" applyBorder="1" applyAlignment="1" applyProtection="1">
      <alignment/>
      <protection hidden="1"/>
    </xf>
    <xf numFmtId="11" fontId="11" fillId="4" borderId="0" xfId="0" applyNumberFormat="1" applyFont="1" applyFill="1" applyBorder="1" applyAlignment="1" applyProtection="1">
      <alignment/>
      <protection hidden="1"/>
    </xf>
    <xf numFmtId="0" fontId="14" fillId="4" borderId="0" xfId="0" applyFont="1" applyFill="1" applyBorder="1" applyAlignment="1" applyProtection="1">
      <alignment horizontal="right"/>
      <protection hidden="1"/>
    </xf>
    <xf numFmtId="0" fontId="14" fillId="4" borderId="0" xfId="0" applyFont="1" applyFill="1" applyBorder="1" applyAlignment="1" applyProtection="1">
      <alignment/>
      <protection hidden="1"/>
    </xf>
    <xf numFmtId="0" fontId="37" fillId="0" borderId="5" xfId="0" applyFont="1" applyFill="1" applyBorder="1" applyAlignment="1" applyProtection="1">
      <alignment/>
      <protection hidden="1"/>
    </xf>
    <xf numFmtId="0" fontId="37" fillId="0" borderId="6" xfId="0" applyFont="1" applyFill="1" applyBorder="1" applyAlignment="1" applyProtection="1">
      <alignment/>
      <protection hidden="1"/>
    </xf>
    <xf numFmtId="196" fontId="30" fillId="0" borderId="5" xfId="0" applyNumberFormat="1" applyFont="1" applyFill="1" applyBorder="1" applyAlignment="1" applyProtection="1">
      <alignment/>
      <protection hidden="1"/>
    </xf>
    <xf numFmtId="196" fontId="20" fillId="0" borderId="5" xfId="0" applyNumberFormat="1" applyFont="1" applyFill="1" applyBorder="1" applyAlignment="1" applyProtection="1">
      <alignment/>
      <protection hidden="1"/>
    </xf>
    <xf numFmtId="0" fontId="20" fillId="0" borderId="14" xfId="0" applyFont="1" applyFill="1" applyBorder="1" applyAlignment="1" applyProtection="1">
      <alignment/>
      <protection hidden="1"/>
    </xf>
    <xf numFmtId="0" fontId="13" fillId="0" borderId="1" xfId="0" applyFont="1" applyFill="1" applyBorder="1" applyAlignment="1" applyProtection="1">
      <alignment horizontal="left"/>
      <protection hidden="1"/>
    </xf>
    <xf numFmtId="0" fontId="13" fillId="0" borderId="2" xfId="0" applyFont="1" applyFill="1" applyBorder="1" applyAlignment="1" applyProtection="1">
      <alignment horizontal="left"/>
      <protection hidden="1"/>
    </xf>
    <xf numFmtId="0" fontId="13" fillId="4" borderId="0" xfId="0" applyFont="1" applyFill="1" applyBorder="1" applyAlignment="1" applyProtection="1">
      <alignment horizontal="left"/>
      <protection hidden="1"/>
    </xf>
    <xf numFmtId="0" fontId="30" fillId="0" borderId="6" xfId="0" applyFont="1" applyFill="1" applyBorder="1" applyAlignment="1" applyProtection="1">
      <alignment/>
      <protection hidden="1"/>
    </xf>
    <xf numFmtId="0" fontId="13" fillId="0" borderId="14" xfId="0" applyFont="1" applyFill="1" applyBorder="1" applyAlignment="1" applyProtection="1">
      <alignment horizontal="right"/>
      <protection hidden="1"/>
    </xf>
    <xf numFmtId="0" fontId="37" fillId="0" borderId="7" xfId="0" applyFont="1" applyFill="1" applyBorder="1" applyAlignment="1" applyProtection="1">
      <alignment/>
      <protection hidden="1"/>
    </xf>
    <xf numFmtId="0" fontId="64" fillId="0" borderId="0" xfId="0" applyFont="1" applyFill="1" applyBorder="1" applyAlignment="1" applyProtection="1">
      <alignment/>
      <protection hidden="1"/>
    </xf>
    <xf numFmtId="0" fontId="30" fillId="0" borderId="8" xfId="0" applyFont="1" applyFill="1" applyBorder="1" applyAlignment="1" applyProtection="1">
      <alignment/>
      <protection hidden="1"/>
    </xf>
    <xf numFmtId="0" fontId="13" fillId="0" borderId="8" xfId="0" applyFont="1" applyFill="1" applyBorder="1" applyAlignment="1" applyProtection="1">
      <alignment horizontal="right"/>
      <protection hidden="1"/>
    </xf>
    <xf numFmtId="0" fontId="13" fillId="0" borderId="13" xfId="0" applyFont="1" applyFill="1" applyBorder="1" applyAlignment="1" applyProtection="1">
      <alignment horizontal="right"/>
      <protection hidden="1"/>
    </xf>
    <xf numFmtId="0" fontId="19" fillId="0" borderId="27" xfId="0" applyFont="1" applyFill="1" applyBorder="1" applyAlignment="1" applyProtection="1">
      <alignment horizontal="right"/>
      <protection hidden="1"/>
    </xf>
    <xf numFmtId="0" fontId="46" fillId="3" borderId="0" xfId="0" applyFont="1" applyFill="1" applyBorder="1" applyAlignment="1" applyProtection="1">
      <alignment horizontal="left"/>
      <protection hidden="1"/>
    </xf>
    <xf numFmtId="0" fontId="9" fillId="0" borderId="0" xfId="0" applyFont="1" applyFill="1" applyBorder="1" applyAlignment="1" applyProtection="1">
      <alignment horizontal="center"/>
      <protection hidden="1"/>
    </xf>
    <xf numFmtId="0" fontId="19" fillId="0" borderId="0" xfId="0" applyFont="1" applyFill="1" applyBorder="1" applyAlignment="1" applyProtection="1">
      <alignment/>
      <protection hidden="1"/>
    </xf>
    <xf numFmtId="0" fontId="19" fillId="0" borderId="0" xfId="0" applyFont="1" applyFill="1" applyBorder="1" applyAlignment="1" applyProtection="1">
      <alignment horizontal="center"/>
      <protection hidden="1"/>
    </xf>
    <xf numFmtId="196" fontId="30" fillId="0" borderId="3" xfId="0" applyNumberFormat="1" applyFont="1" applyFill="1" applyBorder="1" applyAlignment="1" applyProtection="1">
      <alignment/>
      <protection hidden="1"/>
    </xf>
    <xf numFmtId="196" fontId="43" fillId="0" borderId="15" xfId="0" applyNumberFormat="1" applyFont="1" applyFill="1" applyBorder="1" applyAlignment="1" applyProtection="1">
      <alignment/>
      <protection hidden="1"/>
    </xf>
    <xf numFmtId="196" fontId="9" fillId="0" borderId="3" xfId="0" applyNumberFormat="1" applyFont="1" applyFill="1" applyBorder="1" applyAlignment="1" applyProtection="1">
      <alignment horizontal="left"/>
      <protection hidden="1"/>
    </xf>
    <xf numFmtId="2" fontId="30" fillId="0" borderId="3" xfId="0" applyNumberFormat="1" applyFont="1" applyFill="1" applyBorder="1" applyAlignment="1" applyProtection="1">
      <alignment/>
      <protection hidden="1"/>
    </xf>
    <xf numFmtId="196" fontId="20" fillId="0" borderId="3" xfId="0" applyNumberFormat="1" applyFont="1" applyFill="1" applyBorder="1" applyAlignment="1" applyProtection="1">
      <alignment/>
      <protection hidden="1"/>
    </xf>
    <xf numFmtId="196" fontId="9" fillId="0" borderId="0" xfId="0" applyNumberFormat="1" applyFont="1" applyFill="1" applyBorder="1" applyAlignment="1" applyProtection="1">
      <alignment horizontal="left"/>
      <protection hidden="1"/>
    </xf>
    <xf numFmtId="0" fontId="13" fillId="0" borderId="0" xfId="0" applyFont="1" applyFill="1" applyBorder="1" applyAlignment="1" applyProtection="1">
      <alignment horizontal="left"/>
      <protection hidden="1"/>
    </xf>
    <xf numFmtId="196" fontId="19" fillId="0" borderId="0" xfId="0" applyNumberFormat="1" applyFont="1" applyFill="1" applyBorder="1" applyAlignment="1" applyProtection="1">
      <alignment/>
      <protection hidden="1"/>
    </xf>
    <xf numFmtId="0" fontId="46" fillId="0" borderId="12" xfId="0" applyFont="1" applyFill="1" applyBorder="1" applyAlignment="1" applyProtection="1">
      <alignment/>
      <protection hidden="1"/>
    </xf>
    <xf numFmtId="0" fontId="13" fillId="0" borderId="12" xfId="0" applyFont="1" applyFill="1" applyBorder="1" applyAlignment="1" applyProtection="1">
      <alignment horizontal="left"/>
      <protection hidden="1"/>
    </xf>
    <xf numFmtId="1" fontId="30" fillId="0" borderId="4" xfId="0" applyNumberFormat="1" applyFont="1" applyFill="1" applyBorder="1" applyAlignment="1" applyProtection="1">
      <alignment/>
      <protection hidden="1"/>
    </xf>
    <xf numFmtId="0" fontId="30" fillId="7" borderId="4" xfId="0" applyFont="1" applyFill="1" applyBorder="1" applyAlignment="1" applyProtection="1">
      <alignment horizontal="left"/>
      <protection hidden="1"/>
    </xf>
    <xf numFmtId="0" fontId="64" fillId="0" borderId="4" xfId="0" applyFont="1" applyFill="1" applyBorder="1" applyAlignment="1" applyProtection="1">
      <alignment horizontal="left"/>
      <protection hidden="1"/>
    </xf>
    <xf numFmtId="196" fontId="30" fillId="0" borderId="4" xfId="0" applyNumberFormat="1" applyFont="1" applyFill="1" applyBorder="1" applyAlignment="1" applyProtection="1">
      <alignment horizontal="center"/>
      <protection hidden="1"/>
    </xf>
    <xf numFmtId="196" fontId="20" fillId="0" borderId="1" xfId="0" applyNumberFormat="1" applyFont="1" applyFill="1" applyBorder="1" applyAlignment="1" applyProtection="1">
      <alignment/>
      <protection hidden="1"/>
    </xf>
    <xf numFmtId="0" fontId="32" fillId="2" borderId="0" xfId="0" applyFont="1" applyFill="1" applyAlignment="1" applyProtection="1">
      <alignment/>
      <protection hidden="1"/>
    </xf>
    <xf numFmtId="0" fontId="71" fillId="2" borderId="0" xfId="0" applyFont="1" applyFill="1" applyAlignment="1" applyProtection="1">
      <alignment/>
      <protection hidden="1"/>
    </xf>
    <xf numFmtId="0" fontId="62" fillId="5" borderId="0" xfId="0" applyFont="1" applyFill="1" applyBorder="1" applyAlignment="1" applyProtection="1">
      <alignment horizontal="left"/>
      <protection hidden="1"/>
    </xf>
    <xf numFmtId="0" fontId="72" fillId="5" borderId="0" xfId="0" applyFont="1" applyFill="1" applyAlignment="1" applyProtection="1">
      <alignment/>
      <protection hidden="1"/>
    </xf>
    <xf numFmtId="0" fontId="36" fillId="5" borderId="0" xfId="0" applyFont="1" applyFill="1" applyBorder="1" applyAlignment="1" applyProtection="1">
      <alignment horizontal="right"/>
      <protection hidden="1"/>
    </xf>
    <xf numFmtId="0" fontId="31" fillId="0" borderId="1" xfId="0" applyFont="1" applyFill="1" applyBorder="1" applyAlignment="1" applyProtection="1">
      <alignment horizontal="center"/>
      <protection hidden="1"/>
    </xf>
    <xf numFmtId="0" fontId="31" fillId="0" borderId="6" xfId="0" applyFont="1" applyFill="1" applyBorder="1" applyAlignment="1" applyProtection="1">
      <alignment horizontal="center"/>
      <protection hidden="1"/>
    </xf>
    <xf numFmtId="0" fontId="12" fillId="5" borderId="0" xfId="0" applyFont="1" applyFill="1" applyBorder="1" applyAlignment="1" applyProtection="1">
      <alignment horizontal="right"/>
      <protection hidden="1"/>
    </xf>
    <xf numFmtId="0" fontId="9" fillId="7" borderId="6" xfId="0" applyFont="1" applyFill="1" applyBorder="1" applyAlignment="1" applyProtection="1">
      <alignment/>
      <protection hidden="1"/>
    </xf>
    <xf numFmtId="0" fontId="30" fillId="7" borderId="6" xfId="0" applyFont="1" applyFill="1" applyBorder="1" applyAlignment="1" applyProtection="1">
      <alignment/>
      <protection hidden="1"/>
    </xf>
    <xf numFmtId="0" fontId="20" fillId="7" borderId="6" xfId="0" applyFont="1" applyFill="1" applyBorder="1" applyAlignment="1" applyProtection="1">
      <alignment horizontal="right"/>
      <protection hidden="1"/>
    </xf>
    <xf numFmtId="0" fontId="20" fillId="7" borderId="6" xfId="0" applyFont="1" applyFill="1" applyBorder="1" applyAlignment="1" applyProtection="1">
      <alignment horizontal="left"/>
      <protection hidden="1"/>
    </xf>
    <xf numFmtId="0" fontId="13" fillId="7" borderId="6" xfId="0" applyFont="1" applyFill="1" applyBorder="1" applyAlignment="1" applyProtection="1">
      <alignment/>
      <protection hidden="1"/>
    </xf>
    <xf numFmtId="0" fontId="13" fillId="7" borderId="6" xfId="0" applyFont="1" applyFill="1" applyBorder="1" applyAlignment="1" applyProtection="1">
      <alignment horizontal="right"/>
      <protection hidden="1"/>
    </xf>
    <xf numFmtId="0" fontId="30" fillId="7" borderId="0" xfId="0" applyFont="1" applyFill="1" applyBorder="1" applyAlignment="1" applyProtection="1">
      <alignment/>
      <protection hidden="1"/>
    </xf>
    <xf numFmtId="0" fontId="20" fillId="7" borderId="0" xfId="0" applyFont="1" applyFill="1" applyBorder="1" applyAlignment="1" applyProtection="1">
      <alignment horizontal="right"/>
      <protection hidden="1"/>
    </xf>
    <xf numFmtId="0" fontId="20" fillId="7" borderId="0" xfId="0" applyFont="1" applyFill="1" applyBorder="1" applyAlignment="1" applyProtection="1">
      <alignment horizontal="left"/>
      <protection hidden="1"/>
    </xf>
    <xf numFmtId="0" fontId="13" fillId="7" borderId="0" xfId="0" applyFont="1" applyFill="1" applyBorder="1" applyAlignment="1" applyProtection="1">
      <alignment/>
      <protection hidden="1"/>
    </xf>
    <xf numFmtId="0" fontId="46" fillId="7" borderId="0" xfId="0" applyFont="1" applyFill="1" applyBorder="1" applyAlignment="1" applyProtection="1">
      <alignment/>
      <protection hidden="1"/>
    </xf>
    <xf numFmtId="0" fontId="66" fillId="7" borderId="0" xfId="0" applyFont="1" applyFill="1" applyBorder="1" applyAlignment="1" applyProtection="1">
      <alignment/>
      <protection hidden="1"/>
    </xf>
    <xf numFmtId="0" fontId="66" fillId="7" borderId="0" xfId="0" applyFont="1" applyFill="1" applyBorder="1" applyAlignment="1" applyProtection="1">
      <alignment horizontal="right"/>
      <protection hidden="1"/>
    </xf>
    <xf numFmtId="0" fontId="46" fillId="7" borderId="0" xfId="0" applyFont="1" applyFill="1" applyBorder="1" applyAlignment="1" applyProtection="1">
      <alignment horizontal="right"/>
      <protection hidden="1"/>
    </xf>
    <xf numFmtId="0" fontId="76" fillId="5" borderId="0" xfId="0" applyFont="1" applyFill="1" applyBorder="1" applyAlignment="1" applyProtection="1">
      <alignment horizontal="right"/>
      <protection hidden="1"/>
    </xf>
    <xf numFmtId="15" fontId="36" fillId="5" borderId="0" xfId="0" applyNumberFormat="1" applyFont="1" applyFill="1" applyBorder="1" applyAlignment="1" applyProtection="1">
      <alignment horizontal="center"/>
      <protection hidden="1"/>
    </xf>
    <xf numFmtId="11" fontId="9" fillId="4" borderId="0" xfId="0" applyNumberFormat="1" applyFont="1" applyFill="1" applyBorder="1" applyAlignment="1" applyProtection="1">
      <alignment/>
      <protection hidden="1"/>
    </xf>
    <xf numFmtId="0" fontId="13" fillId="4" borderId="0" xfId="0" applyFont="1" applyFill="1" applyBorder="1" applyAlignment="1" applyProtection="1">
      <alignment horizontal="center"/>
      <protection hidden="1"/>
    </xf>
    <xf numFmtId="0" fontId="19" fillId="0" borderId="4" xfId="0" applyFont="1" applyFill="1" applyBorder="1" applyAlignment="1" applyProtection="1">
      <alignment horizontal="right"/>
      <protection hidden="1"/>
    </xf>
    <xf numFmtId="0" fontId="13" fillId="4" borderId="0" xfId="0" applyFont="1" applyFill="1" applyAlignment="1" applyProtection="1">
      <alignment horizontal="center"/>
      <protection hidden="1"/>
    </xf>
    <xf numFmtId="1" fontId="78" fillId="2" borderId="0" xfId="0" applyNumberFormat="1" applyFont="1" applyFill="1" applyAlignment="1" applyProtection="1">
      <alignment horizontal="center"/>
      <protection hidden="1"/>
    </xf>
    <xf numFmtId="2" fontId="13" fillId="0" borderId="7" xfId="0" applyNumberFormat="1" applyFont="1" applyFill="1" applyBorder="1" applyAlignment="1" applyProtection="1">
      <alignment horizontal="left"/>
      <protection hidden="1"/>
    </xf>
    <xf numFmtId="0" fontId="79" fillId="2" borderId="0" xfId="0" applyFont="1" applyFill="1" applyAlignment="1" applyProtection="1">
      <alignment/>
      <protection hidden="1"/>
    </xf>
    <xf numFmtId="197" fontId="19" fillId="0" borderId="2" xfId="0" applyNumberFormat="1" applyFont="1" applyFill="1" applyBorder="1" applyAlignment="1" applyProtection="1">
      <alignment/>
      <protection hidden="1"/>
    </xf>
    <xf numFmtId="0" fontId="28" fillId="0" borderId="0" xfId="0" applyFont="1" applyFill="1" applyBorder="1" applyAlignment="1" applyProtection="1">
      <alignment horizontal="right"/>
      <protection hidden="1"/>
    </xf>
    <xf numFmtId="0" fontId="80" fillId="4" borderId="0" xfId="0" applyFont="1" applyFill="1" applyAlignment="1" applyProtection="1">
      <alignment/>
      <protection hidden="1"/>
    </xf>
    <xf numFmtId="0" fontId="80" fillId="4" borderId="0" xfId="0" applyFont="1" applyFill="1" applyBorder="1" applyAlignment="1" applyProtection="1">
      <alignment/>
      <protection hidden="1"/>
    </xf>
    <xf numFmtId="0" fontId="28" fillId="0" borderId="0" xfId="0" applyFont="1" applyFill="1" applyBorder="1" applyAlignment="1" applyProtection="1">
      <alignment horizontal="right"/>
      <protection hidden="1" locked="0"/>
    </xf>
    <xf numFmtId="0" fontId="22" fillId="11" borderId="3" xfId="0" applyFont="1" applyFill="1" applyBorder="1" applyAlignment="1" applyProtection="1">
      <alignment/>
      <protection hidden="1"/>
    </xf>
    <xf numFmtId="0" fontId="23" fillId="11" borderId="4" xfId="0" applyFont="1" applyFill="1" applyBorder="1" applyAlignment="1" applyProtection="1">
      <alignment/>
      <protection hidden="1"/>
    </xf>
    <xf numFmtId="0" fontId="22" fillId="11" borderId="4" xfId="0" applyFont="1" applyFill="1" applyBorder="1" applyAlignment="1" applyProtection="1">
      <alignment/>
      <protection hidden="1"/>
    </xf>
    <xf numFmtId="0" fontId="56" fillId="11" borderId="4" xfId="0" applyFont="1" applyFill="1" applyBorder="1" applyAlignment="1" applyProtection="1">
      <alignment horizontal="left"/>
      <protection hidden="1"/>
    </xf>
    <xf numFmtId="0" fontId="25" fillId="11" borderId="4" xfId="0" applyFont="1" applyFill="1" applyBorder="1" applyAlignment="1" applyProtection="1">
      <alignment/>
      <protection hidden="1"/>
    </xf>
    <xf numFmtId="0" fontId="44" fillId="11" borderId="4" xfId="0" applyFont="1" applyFill="1" applyBorder="1" applyAlignment="1" applyProtection="1">
      <alignment horizontal="left"/>
      <protection hidden="1"/>
    </xf>
    <xf numFmtId="0" fontId="20" fillId="11" borderId="4" xfId="0" applyFont="1" applyFill="1" applyBorder="1" applyAlignment="1" applyProtection="1">
      <alignment/>
      <protection hidden="1"/>
    </xf>
    <xf numFmtId="0" fontId="25" fillId="11" borderId="4" xfId="0" applyFont="1" applyFill="1" applyBorder="1" applyAlignment="1" applyProtection="1">
      <alignment horizontal="center"/>
      <protection hidden="1"/>
    </xf>
    <xf numFmtId="0" fontId="26" fillId="11" borderId="4" xfId="0" applyFont="1" applyFill="1" applyBorder="1" applyAlignment="1" applyProtection="1">
      <alignment/>
      <protection hidden="1"/>
    </xf>
    <xf numFmtId="0" fontId="55" fillId="11" borderId="4" xfId="0" applyFont="1" applyFill="1" applyBorder="1" applyAlignment="1" applyProtection="1">
      <alignment/>
      <protection hidden="1"/>
    </xf>
    <xf numFmtId="0" fontId="28" fillId="11" borderId="4" xfId="0" applyFont="1" applyFill="1" applyBorder="1" applyAlignment="1" applyProtection="1">
      <alignment/>
      <protection hidden="1"/>
    </xf>
    <xf numFmtId="0" fontId="22" fillId="11" borderId="3" xfId="0" applyFont="1" applyFill="1" applyBorder="1" applyAlignment="1" applyProtection="1">
      <alignment/>
      <protection hidden="1"/>
    </xf>
    <xf numFmtId="0" fontId="22" fillId="11" borderId="4" xfId="0" applyFont="1" applyFill="1" applyBorder="1" applyAlignment="1" applyProtection="1">
      <alignment/>
      <protection hidden="1"/>
    </xf>
    <xf numFmtId="0" fontId="23" fillId="11" borderId="4" xfId="0" applyFont="1" applyFill="1" applyBorder="1" applyAlignment="1" applyProtection="1">
      <alignment/>
      <protection hidden="1"/>
    </xf>
    <xf numFmtId="0" fontId="25" fillId="11" borderId="4" xfId="0" applyFont="1" applyFill="1" applyBorder="1" applyAlignment="1" applyProtection="1">
      <alignment/>
      <protection hidden="1"/>
    </xf>
    <xf numFmtId="0" fontId="26" fillId="11" borderId="4" xfId="0" applyFont="1" applyFill="1" applyBorder="1" applyAlignment="1" applyProtection="1">
      <alignment/>
      <protection hidden="1"/>
    </xf>
    <xf numFmtId="0" fontId="55" fillId="11" borderId="4" xfId="0" applyFont="1" applyFill="1" applyBorder="1" applyAlignment="1" applyProtection="1">
      <alignment/>
      <protection hidden="1"/>
    </xf>
    <xf numFmtId="0" fontId="28" fillId="11" borderId="4" xfId="0" applyFont="1" applyFill="1" applyBorder="1" applyAlignment="1" applyProtection="1">
      <alignment/>
      <protection hidden="1"/>
    </xf>
    <xf numFmtId="0" fontId="44" fillId="11" borderId="4" xfId="0" applyFont="1" applyFill="1" applyBorder="1" applyAlignment="1" applyProtection="1">
      <alignment horizontal="left"/>
      <protection hidden="1"/>
    </xf>
    <xf numFmtId="0" fontId="23" fillId="11" borderId="28" xfId="0" applyFont="1" applyFill="1" applyBorder="1" applyAlignment="1" applyProtection="1">
      <alignment/>
      <protection hidden="1"/>
    </xf>
    <xf numFmtId="0" fontId="56" fillId="11" borderId="28" xfId="0" applyFont="1" applyFill="1" applyBorder="1" applyAlignment="1" applyProtection="1">
      <alignment/>
      <protection hidden="1"/>
    </xf>
    <xf numFmtId="0" fontId="22" fillId="11" borderId="28" xfId="0" applyFont="1" applyFill="1" applyBorder="1" applyAlignment="1" applyProtection="1">
      <alignment/>
      <protection hidden="1"/>
    </xf>
    <xf numFmtId="0" fontId="25" fillId="11" borderId="28" xfId="0" applyFont="1" applyFill="1" applyBorder="1" applyAlignment="1" applyProtection="1">
      <alignment/>
      <protection hidden="1"/>
    </xf>
    <xf numFmtId="0" fontId="26" fillId="11" borderId="28" xfId="0" applyFont="1" applyFill="1" applyBorder="1" applyAlignment="1" applyProtection="1">
      <alignment/>
      <protection hidden="1"/>
    </xf>
    <xf numFmtId="0" fontId="55" fillId="11" borderId="28" xfId="0" applyFont="1" applyFill="1" applyBorder="1" applyAlignment="1" applyProtection="1">
      <alignment/>
      <protection hidden="1"/>
    </xf>
    <xf numFmtId="0" fontId="28" fillId="11" borderId="28" xfId="0" applyFont="1" applyFill="1" applyBorder="1" applyAlignment="1" applyProtection="1">
      <alignment/>
      <protection hidden="1"/>
    </xf>
    <xf numFmtId="0" fontId="65" fillId="11" borderId="28" xfId="0" applyFont="1" applyFill="1" applyBorder="1" applyAlignment="1" applyProtection="1">
      <alignment horizontal="left"/>
      <protection hidden="1"/>
    </xf>
    <xf numFmtId="0" fontId="44" fillId="11" borderId="28" xfId="0" applyFont="1" applyFill="1" applyBorder="1" applyAlignment="1" applyProtection="1">
      <alignment horizontal="left"/>
      <protection hidden="1"/>
    </xf>
    <xf numFmtId="2" fontId="30" fillId="0" borderId="1" xfId="0" applyNumberFormat="1" applyFont="1" applyFill="1" applyBorder="1" applyAlignment="1" applyProtection="1">
      <alignment/>
      <protection hidden="1"/>
    </xf>
    <xf numFmtId="2" fontId="30" fillId="0" borderId="7" xfId="0" applyNumberFormat="1" applyFont="1" applyFill="1" applyBorder="1" applyAlignment="1" applyProtection="1">
      <alignment/>
      <protection hidden="1"/>
    </xf>
    <xf numFmtId="196" fontId="30" fillId="0" borderId="4" xfId="0" applyNumberFormat="1" applyFont="1" applyFill="1" applyBorder="1" applyAlignment="1" applyProtection="1">
      <alignment horizontal="left"/>
      <protection hidden="1"/>
    </xf>
    <xf numFmtId="0" fontId="9" fillId="0" borderId="3" xfId="0" applyFont="1" applyFill="1" applyBorder="1" applyAlignment="1" applyProtection="1">
      <alignment horizontal="right"/>
      <protection hidden="1"/>
    </xf>
    <xf numFmtId="0" fontId="13" fillId="0" borderId="15" xfId="0" applyFont="1" applyFill="1" applyBorder="1" applyAlignment="1" applyProtection="1">
      <alignment horizontal="center"/>
      <protection hidden="1"/>
    </xf>
    <xf numFmtId="0" fontId="13" fillId="7" borderId="4" xfId="0" applyFont="1" applyFill="1" applyBorder="1" applyAlignment="1" applyProtection="1">
      <alignment horizontal="center"/>
      <protection hidden="1"/>
    </xf>
    <xf numFmtId="0" fontId="46" fillId="0" borderId="0" xfId="0" applyFont="1" applyFill="1" applyBorder="1" applyAlignment="1" applyProtection="1">
      <alignment horizontal="right"/>
      <protection hidden="1"/>
    </xf>
    <xf numFmtId="0" fontId="25" fillId="11" borderId="4" xfId="0" applyFont="1" applyFill="1" applyBorder="1" applyAlignment="1" applyProtection="1">
      <alignment horizontal="right"/>
      <protection hidden="1"/>
    </xf>
    <xf numFmtId="0" fontId="83" fillId="9" borderId="12" xfId="0" applyFont="1" applyFill="1" applyBorder="1" applyAlignment="1" applyProtection="1">
      <alignment horizontal="left"/>
      <protection hidden="1"/>
    </xf>
    <xf numFmtId="0" fontId="83" fillId="9" borderId="12" xfId="0" applyFont="1" applyFill="1" applyBorder="1" applyAlignment="1" applyProtection="1">
      <alignment horizontal="right"/>
      <protection hidden="1"/>
    </xf>
    <xf numFmtId="0" fontId="59" fillId="9" borderId="12" xfId="0" applyFont="1" applyFill="1" applyBorder="1" applyAlignment="1" applyProtection="1">
      <alignment horizontal="right"/>
      <protection hidden="1"/>
    </xf>
    <xf numFmtId="2" fontId="43" fillId="0" borderId="3" xfId="0" applyNumberFormat="1" applyFont="1" applyFill="1" applyBorder="1" applyAlignment="1" applyProtection="1">
      <alignment/>
      <protection hidden="1"/>
    </xf>
    <xf numFmtId="15" fontId="9" fillId="5" borderId="0" xfId="0" applyNumberFormat="1" applyFont="1" applyFill="1" applyBorder="1" applyAlignment="1" applyProtection="1">
      <alignment horizontal="center"/>
      <protection hidden="1"/>
    </xf>
    <xf numFmtId="197" fontId="19" fillId="5" borderId="0" xfId="0" applyNumberFormat="1" applyFont="1" applyFill="1" applyAlignment="1" applyProtection="1">
      <alignment horizontal="center"/>
      <protection hidden="1"/>
    </xf>
    <xf numFmtId="0" fontId="55" fillId="6" borderId="4" xfId="0" applyFont="1" applyFill="1" applyBorder="1" applyAlignment="1" applyProtection="1">
      <alignment/>
      <protection hidden="1"/>
    </xf>
    <xf numFmtId="0" fontId="28" fillId="6" borderId="4" xfId="0" applyFont="1" applyFill="1" applyBorder="1" applyAlignment="1" applyProtection="1">
      <alignment/>
      <protection hidden="1"/>
    </xf>
    <xf numFmtId="0" fontId="22" fillId="6" borderId="4" xfId="0" applyFont="1" applyFill="1" applyBorder="1" applyAlignment="1" applyProtection="1">
      <alignment/>
      <protection hidden="1"/>
    </xf>
    <xf numFmtId="0" fontId="65" fillId="6" borderId="15" xfId="0" applyFont="1" applyFill="1" applyBorder="1" applyAlignment="1" applyProtection="1">
      <alignment/>
      <protection hidden="1"/>
    </xf>
    <xf numFmtId="0" fontId="27" fillId="11" borderId="4" xfId="0" applyFont="1" applyFill="1" applyBorder="1" applyAlignment="1" applyProtection="1">
      <alignment/>
      <protection hidden="1"/>
    </xf>
    <xf numFmtId="0" fontId="28" fillId="11" borderId="4" xfId="0" applyFont="1" applyFill="1" applyBorder="1" applyAlignment="1" applyProtection="1">
      <alignment horizontal="left"/>
      <protection hidden="1"/>
    </xf>
    <xf numFmtId="0" fontId="65" fillId="11" borderId="4" xfId="0" applyFont="1" applyFill="1" applyBorder="1" applyAlignment="1" applyProtection="1">
      <alignment/>
      <protection hidden="1"/>
    </xf>
    <xf numFmtId="0" fontId="65" fillId="6" borderId="15" xfId="0" applyFont="1" applyFill="1" applyBorder="1" applyAlignment="1" applyProtection="1">
      <alignment horizontal="right"/>
      <protection hidden="1"/>
    </xf>
    <xf numFmtId="0" fontId="28" fillId="6" borderId="15" xfId="0" applyFont="1" applyFill="1" applyBorder="1" applyAlignment="1" applyProtection="1">
      <alignment horizontal="right"/>
      <protection hidden="1"/>
    </xf>
    <xf numFmtId="2" fontId="30" fillId="0" borderId="5" xfId="0" applyNumberFormat="1" applyFont="1" applyBorder="1" applyAlignment="1" applyProtection="1">
      <alignment horizontal="right"/>
      <protection hidden="1"/>
    </xf>
    <xf numFmtId="0" fontId="19" fillId="0" borderId="14" xfId="0" applyFont="1" applyBorder="1" applyAlignment="1" applyProtection="1">
      <alignment horizontal="right"/>
      <protection hidden="1"/>
    </xf>
    <xf numFmtId="0" fontId="85" fillId="11" borderId="4" xfId="0" applyFont="1" applyFill="1" applyBorder="1" applyAlignment="1" applyProtection="1">
      <alignment/>
      <protection hidden="1"/>
    </xf>
    <xf numFmtId="0" fontId="66" fillId="7" borderId="0" xfId="0" applyFont="1" applyFill="1" applyBorder="1" applyAlignment="1" applyProtection="1">
      <alignment horizontal="right"/>
      <protection hidden="1"/>
    </xf>
    <xf numFmtId="0" fontId="9" fillId="4" borderId="3" xfId="0" applyFont="1" applyFill="1" applyBorder="1" applyAlignment="1" applyProtection="1">
      <alignment/>
      <protection hidden="1"/>
    </xf>
    <xf numFmtId="0" fontId="9" fillId="4" borderId="4" xfId="0" applyFont="1" applyFill="1" applyBorder="1" applyAlignment="1" applyProtection="1">
      <alignment/>
      <protection hidden="1"/>
    </xf>
    <xf numFmtId="0" fontId="28" fillId="11" borderId="29" xfId="0" applyFont="1" applyFill="1" applyBorder="1" applyAlignment="1" applyProtection="1">
      <alignment horizontal="right"/>
      <protection hidden="1"/>
    </xf>
    <xf numFmtId="0" fontId="20" fillId="0" borderId="19" xfId="0" applyFont="1" applyFill="1" applyBorder="1" applyAlignment="1" applyProtection="1">
      <alignment horizontal="right"/>
      <protection hidden="1"/>
    </xf>
    <xf numFmtId="0" fontId="22" fillId="11" borderId="30" xfId="0" applyFont="1" applyFill="1" applyBorder="1" applyAlignment="1" applyProtection="1">
      <alignment/>
      <protection hidden="1"/>
    </xf>
    <xf numFmtId="1" fontId="19" fillId="0" borderId="4" xfId="0" applyNumberFormat="1" applyFont="1" applyFill="1" applyBorder="1" applyAlignment="1" applyProtection="1">
      <alignment/>
      <protection hidden="1"/>
    </xf>
    <xf numFmtId="0" fontId="13" fillId="0" borderId="7" xfId="0" applyFont="1" applyFill="1" applyBorder="1" applyAlignment="1" applyProtection="1">
      <alignment/>
      <protection hidden="1"/>
    </xf>
    <xf numFmtId="0" fontId="66" fillId="0" borderId="1" xfId="0" applyFont="1" applyFill="1" applyBorder="1" applyAlignment="1" applyProtection="1">
      <alignment horizontal="right"/>
      <protection hidden="1"/>
    </xf>
    <xf numFmtId="0" fontId="13" fillId="5" borderId="7" xfId="0" applyFont="1" applyFill="1" applyBorder="1" applyAlignment="1" applyProtection="1">
      <alignment/>
      <protection hidden="1"/>
    </xf>
    <xf numFmtId="1" fontId="33" fillId="0" borderId="2" xfId="0" applyNumberFormat="1" applyFont="1" applyFill="1" applyBorder="1" applyAlignment="1" applyProtection="1">
      <alignment/>
      <protection hidden="1"/>
    </xf>
    <xf numFmtId="196" fontId="34" fillId="0" borderId="2" xfId="0" applyNumberFormat="1" applyFont="1" applyFill="1" applyBorder="1" applyAlignment="1" applyProtection="1">
      <alignment horizontal="right"/>
      <protection hidden="1"/>
    </xf>
    <xf numFmtId="1" fontId="62" fillId="0" borderId="2" xfId="0" applyNumberFormat="1" applyFont="1" applyFill="1" applyBorder="1" applyAlignment="1" applyProtection="1">
      <alignment/>
      <protection hidden="1"/>
    </xf>
    <xf numFmtId="2" fontId="87" fillId="0" borderId="13" xfId="0" applyNumberFormat="1" applyFont="1" applyFill="1" applyBorder="1" applyAlignment="1" applyProtection="1">
      <alignment horizontal="center"/>
      <protection hidden="1"/>
    </xf>
    <xf numFmtId="0" fontId="66" fillId="0" borderId="7" xfId="0" applyFont="1" applyFill="1" applyBorder="1" applyAlignment="1" applyProtection="1">
      <alignment horizontal="right"/>
      <protection hidden="1"/>
    </xf>
    <xf numFmtId="1" fontId="33" fillId="0" borderId="0" xfId="0" applyNumberFormat="1" applyFont="1" applyFill="1" applyBorder="1" applyAlignment="1" applyProtection="1">
      <alignment/>
      <protection hidden="1"/>
    </xf>
    <xf numFmtId="196" fontId="34" fillId="0" borderId="0" xfId="0" applyNumberFormat="1" applyFont="1" applyFill="1" applyBorder="1" applyAlignment="1" applyProtection="1">
      <alignment horizontal="right"/>
      <protection hidden="1"/>
    </xf>
    <xf numFmtId="2" fontId="87" fillId="0" borderId="8" xfId="0" applyNumberFormat="1" applyFont="1" applyFill="1" applyBorder="1" applyAlignment="1" applyProtection="1">
      <alignment horizontal="center"/>
      <protection hidden="1"/>
    </xf>
    <xf numFmtId="0" fontId="25" fillId="6" borderId="5" xfId="0" applyFont="1" applyFill="1" applyBorder="1" applyAlignment="1" applyProtection="1">
      <alignment/>
      <protection hidden="1"/>
    </xf>
    <xf numFmtId="0" fontId="66" fillId="0" borderId="7" xfId="0" applyFont="1" applyFill="1" applyBorder="1" applyAlignment="1" applyProtection="1">
      <alignment horizontal="left"/>
      <protection hidden="1"/>
    </xf>
    <xf numFmtId="2" fontId="33" fillId="0" borderId="7" xfId="0" applyNumberFormat="1" applyFont="1" applyFill="1" applyBorder="1" applyAlignment="1" applyProtection="1">
      <alignment horizontal="left"/>
      <protection hidden="1"/>
    </xf>
    <xf numFmtId="0" fontId="14" fillId="5" borderId="0" xfId="0" applyFont="1" applyFill="1" applyBorder="1" applyAlignment="1" applyProtection="1">
      <alignment horizontal="left"/>
      <protection hidden="1"/>
    </xf>
    <xf numFmtId="2" fontId="33" fillId="0" borderId="0" xfId="0" applyNumberFormat="1" applyFont="1" applyFill="1" applyBorder="1" applyAlignment="1" applyProtection="1">
      <alignment horizontal="left"/>
      <protection hidden="1"/>
    </xf>
    <xf numFmtId="2" fontId="13" fillId="0" borderId="0" xfId="0" applyNumberFormat="1" applyFont="1" applyFill="1" applyBorder="1" applyAlignment="1" applyProtection="1">
      <alignment horizontal="right"/>
      <protection hidden="1"/>
    </xf>
    <xf numFmtId="196" fontId="13" fillId="0" borderId="0" xfId="0" applyNumberFormat="1" applyFont="1" applyFill="1" applyBorder="1" applyAlignment="1" applyProtection="1">
      <alignment horizontal="right"/>
      <protection hidden="1"/>
    </xf>
    <xf numFmtId="0" fontId="66" fillId="0" borderId="0" xfId="0" applyFont="1" applyFill="1" applyBorder="1" applyAlignment="1" applyProtection="1">
      <alignment horizontal="left"/>
      <protection hidden="1"/>
    </xf>
    <xf numFmtId="0" fontId="66" fillId="0" borderId="0" xfId="0" applyFont="1" applyFill="1" applyBorder="1" applyAlignment="1" applyProtection="1">
      <alignment horizontal="right"/>
      <protection hidden="1"/>
    </xf>
    <xf numFmtId="0" fontId="66" fillId="0" borderId="2" xfId="0" applyFont="1" applyFill="1" applyBorder="1" applyAlignment="1" applyProtection="1">
      <alignment horizontal="right"/>
      <protection hidden="1"/>
    </xf>
    <xf numFmtId="0" fontId="0" fillId="0" borderId="0" xfId="0" applyBorder="1" applyAlignment="1" applyProtection="1">
      <alignment horizontal="left"/>
      <protection hidden="1"/>
    </xf>
    <xf numFmtId="0" fontId="87" fillId="0" borderId="2" xfId="0" applyFont="1" applyFill="1" applyBorder="1" applyAlignment="1" applyProtection="1">
      <alignment horizontal="left"/>
      <protection hidden="1"/>
    </xf>
    <xf numFmtId="1" fontId="20" fillId="5" borderId="0" xfId="0" applyNumberFormat="1" applyFont="1" applyFill="1" applyBorder="1" applyAlignment="1" applyProtection="1">
      <alignment horizontal="center"/>
      <protection hidden="1"/>
    </xf>
    <xf numFmtId="0" fontId="14" fillId="5" borderId="0" xfId="0" applyFont="1" applyFill="1" applyAlignment="1" applyProtection="1">
      <alignment horizontal="right"/>
      <protection hidden="1"/>
    </xf>
    <xf numFmtId="0" fontId="14" fillId="5" borderId="0" xfId="0" applyFont="1" applyFill="1" applyAlignment="1" applyProtection="1">
      <alignment horizontal="left"/>
      <protection hidden="1"/>
    </xf>
    <xf numFmtId="15" fontId="15" fillId="3" borderId="23" xfId="0" applyNumberFormat="1" applyFont="1" applyFill="1" applyBorder="1" applyAlignment="1" applyProtection="1">
      <alignment/>
      <protection locked="0"/>
    </xf>
    <xf numFmtId="197" fontId="15" fillId="3" borderId="23" xfId="0" applyNumberFormat="1" applyFont="1" applyFill="1" applyBorder="1" applyAlignment="1" applyProtection="1">
      <alignment horizontal="center"/>
      <protection locked="0"/>
    </xf>
    <xf numFmtId="0" fontId="87" fillId="3" borderId="23" xfId="0" applyFont="1" applyFill="1" applyBorder="1" applyAlignment="1" applyProtection="1">
      <alignment horizontal="center"/>
      <protection locked="0"/>
    </xf>
    <xf numFmtId="0" fontId="46" fillId="0" borderId="7" xfId="0" applyFont="1" applyFill="1" applyBorder="1" applyAlignment="1" applyProtection="1">
      <alignment horizontal="left"/>
      <protection hidden="1"/>
    </xf>
    <xf numFmtId="1" fontId="13" fillId="0" borderId="0" xfId="0" applyNumberFormat="1" applyFont="1" applyFill="1" applyBorder="1" applyAlignment="1" applyProtection="1">
      <alignment horizontal="left"/>
      <protection hidden="1"/>
    </xf>
    <xf numFmtId="196" fontId="12" fillId="0" borderId="0" xfId="0" applyNumberFormat="1" applyFont="1" applyFill="1" applyBorder="1" applyAlignment="1" applyProtection="1">
      <alignment horizontal="right"/>
      <protection hidden="1"/>
    </xf>
    <xf numFmtId="0" fontId="30" fillId="0" borderId="0" xfId="0" applyFont="1" applyFill="1" applyBorder="1" applyAlignment="1" applyProtection="1">
      <alignment horizontal="left"/>
      <protection hidden="1"/>
    </xf>
    <xf numFmtId="0" fontId="9" fillId="5" borderId="0" xfId="0" applyFont="1" applyFill="1" applyBorder="1" applyAlignment="1" applyProtection="1">
      <alignment/>
      <protection hidden="1"/>
    </xf>
    <xf numFmtId="1" fontId="14" fillId="0" borderId="0" xfId="0" applyNumberFormat="1" applyFont="1" applyFill="1" applyBorder="1" applyAlignment="1" applyProtection="1">
      <alignment horizontal="right"/>
      <protection hidden="1"/>
    </xf>
    <xf numFmtId="1" fontId="62" fillId="0" borderId="0" xfId="0" applyNumberFormat="1" applyFont="1" applyFill="1" applyBorder="1" applyAlignment="1" applyProtection="1">
      <alignment horizontal="right"/>
      <protection hidden="1"/>
    </xf>
    <xf numFmtId="1" fontId="14" fillId="0" borderId="0" xfId="0" applyNumberFormat="1" applyFont="1" applyFill="1" applyBorder="1" applyAlignment="1" applyProtection="1">
      <alignment horizontal="right"/>
      <protection hidden="1"/>
    </xf>
    <xf numFmtId="2" fontId="33" fillId="0" borderId="8" xfId="0" applyNumberFormat="1" applyFont="1" applyFill="1" applyBorder="1" applyAlignment="1" applyProtection="1">
      <alignment horizontal="center"/>
      <protection hidden="1"/>
    </xf>
    <xf numFmtId="0" fontId="21" fillId="0" borderId="2" xfId="0" applyFont="1" applyFill="1" applyBorder="1" applyAlignment="1" applyProtection="1">
      <alignment horizontal="right"/>
      <protection hidden="1"/>
    </xf>
    <xf numFmtId="0" fontId="30" fillId="0" borderId="0" xfId="0" applyFont="1" applyFill="1" applyBorder="1" applyAlignment="1" applyProtection="1">
      <alignment/>
      <protection hidden="1"/>
    </xf>
    <xf numFmtId="0" fontId="20" fillId="0" borderId="8" xfId="0" applyFont="1" applyFill="1" applyBorder="1" applyAlignment="1" applyProtection="1">
      <alignment/>
      <protection hidden="1"/>
    </xf>
    <xf numFmtId="0" fontId="9" fillId="0" borderId="6" xfId="0" applyFont="1" applyFill="1" applyBorder="1" applyAlignment="1" applyProtection="1">
      <alignment horizontal="left"/>
      <protection hidden="1"/>
    </xf>
    <xf numFmtId="0" fontId="9" fillId="4" borderId="15" xfId="0" applyFont="1" applyFill="1" applyBorder="1" applyAlignment="1" applyProtection="1">
      <alignment/>
      <protection hidden="1"/>
    </xf>
    <xf numFmtId="0" fontId="20" fillId="0" borderId="0" xfId="0" applyFont="1" applyFill="1" applyBorder="1" applyAlignment="1" applyProtection="1">
      <alignment horizontal="center"/>
      <protection hidden="1"/>
    </xf>
    <xf numFmtId="2" fontId="20" fillId="0" borderId="5" xfId="0" applyNumberFormat="1" applyFont="1" applyFill="1" applyBorder="1" applyAlignment="1" applyProtection="1">
      <alignment/>
      <protection hidden="1"/>
    </xf>
    <xf numFmtId="0" fontId="9" fillId="0" borderId="14" xfId="0" applyFont="1" applyFill="1" applyBorder="1" applyAlignment="1" applyProtection="1">
      <alignment/>
      <protection hidden="1"/>
    </xf>
    <xf numFmtId="0" fontId="37" fillId="0" borderId="31" xfId="0" applyFont="1" applyFill="1" applyBorder="1" applyAlignment="1" applyProtection="1">
      <alignment/>
      <protection hidden="1"/>
    </xf>
    <xf numFmtId="0" fontId="9" fillId="0" borderId="24" xfId="0" applyFont="1" applyFill="1" applyBorder="1" applyAlignment="1" applyProtection="1">
      <alignment/>
      <protection hidden="1"/>
    </xf>
    <xf numFmtId="0" fontId="56" fillId="11" borderId="6" xfId="0" applyFont="1" applyFill="1" applyBorder="1" applyAlignment="1" applyProtection="1">
      <alignment/>
      <protection hidden="1"/>
    </xf>
    <xf numFmtId="0" fontId="56" fillId="11" borderId="2" xfId="0" applyFont="1" applyFill="1" applyBorder="1" applyAlignment="1" applyProtection="1">
      <alignment/>
      <protection hidden="1"/>
    </xf>
    <xf numFmtId="0" fontId="88" fillId="11" borderId="6" xfId="0" applyFont="1" applyFill="1" applyBorder="1" applyAlignment="1" applyProtection="1">
      <alignment/>
      <protection hidden="1"/>
    </xf>
    <xf numFmtId="0" fontId="89" fillId="11" borderId="6" xfId="0" applyFont="1" applyFill="1" applyBorder="1" applyAlignment="1" applyProtection="1">
      <alignment horizontal="right"/>
      <protection hidden="1"/>
    </xf>
    <xf numFmtId="0" fontId="89" fillId="11" borderId="2" xfId="0" applyFont="1" applyFill="1" applyBorder="1" applyAlignment="1" applyProtection="1">
      <alignment horizontal="right"/>
      <protection hidden="1"/>
    </xf>
    <xf numFmtId="0" fontId="64" fillId="0" borderId="6" xfId="0" applyFont="1" applyFill="1" applyBorder="1" applyAlignment="1" applyProtection="1">
      <alignment horizontal="right"/>
      <protection hidden="1"/>
    </xf>
    <xf numFmtId="0" fontId="11" fillId="0" borderId="0" xfId="0" applyFont="1" applyFill="1" applyBorder="1" applyAlignment="1" applyProtection="1">
      <alignment horizontal="right"/>
      <protection hidden="1"/>
    </xf>
    <xf numFmtId="0" fontId="13" fillId="7" borderId="4" xfId="0" applyFont="1" applyFill="1" applyBorder="1" applyAlignment="1" applyProtection="1">
      <alignment horizontal="center"/>
      <protection hidden="1"/>
    </xf>
    <xf numFmtId="0" fontId="13" fillId="0" borderId="3" xfId="0" applyFont="1" applyFill="1" applyBorder="1" applyAlignment="1" applyProtection="1">
      <alignment horizontal="center"/>
      <protection hidden="1"/>
    </xf>
    <xf numFmtId="0" fontId="9" fillId="0" borderId="0" xfId="0" applyFont="1" applyFill="1" applyBorder="1" applyAlignment="1" applyProtection="1">
      <alignment horizontal="left"/>
      <protection hidden="1"/>
    </xf>
    <xf numFmtId="1" fontId="13" fillId="0" borderId="0" xfId="0" applyNumberFormat="1" applyFont="1" applyFill="1" applyBorder="1" applyAlignment="1" applyProtection="1">
      <alignment horizontal="center"/>
      <protection hidden="1"/>
    </xf>
    <xf numFmtId="2" fontId="20" fillId="0" borderId="7" xfId="0" applyNumberFormat="1" applyFont="1" applyFill="1" applyBorder="1" applyAlignment="1" applyProtection="1">
      <alignment/>
      <protection hidden="1"/>
    </xf>
    <xf numFmtId="2" fontId="20" fillId="0" borderId="7" xfId="0" applyNumberFormat="1" applyFont="1" applyFill="1" applyBorder="1" applyAlignment="1" applyProtection="1">
      <alignment/>
      <protection hidden="1"/>
    </xf>
    <xf numFmtId="0" fontId="32" fillId="7" borderId="0" xfId="0" applyFont="1" applyFill="1" applyBorder="1" applyAlignment="1" applyProtection="1">
      <alignment/>
      <protection hidden="1"/>
    </xf>
    <xf numFmtId="0" fontId="32" fillId="4" borderId="0" xfId="0" applyFont="1" applyFill="1" applyBorder="1" applyAlignment="1" applyProtection="1">
      <alignment/>
      <protection hidden="1"/>
    </xf>
    <xf numFmtId="0" fontId="90" fillId="4" borderId="0" xfId="0" applyFont="1" applyFill="1" applyBorder="1" applyAlignment="1" applyProtection="1">
      <alignment/>
      <protection hidden="1"/>
    </xf>
    <xf numFmtId="0" fontId="32" fillId="0" borderId="0" xfId="0" applyFont="1" applyBorder="1" applyAlignment="1" applyProtection="1">
      <alignment/>
      <protection hidden="1"/>
    </xf>
    <xf numFmtId="0" fontId="91" fillId="4" borderId="0" xfId="0" applyFont="1" applyFill="1" applyBorder="1" applyAlignment="1" applyProtection="1">
      <alignment/>
      <protection hidden="1"/>
    </xf>
    <xf numFmtId="0" fontId="80" fillId="0" borderId="0" xfId="0" applyFont="1" applyAlignment="1" applyProtection="1">
      <alignment/>
      <protection hidden="1"/>
    </xf>
    <xf numFmtId="196" fontId="19" fillId="0" borderId="3" xfId="0" applyNumberFormat="1" applyFont="1" applyFill="1" applyBorder="1" applyAlignment="1" applyProtection="1">
      <alignment/>
      <protection hidden="1"/>
    </xf>
    <xf numFmtId="0" fontId="9" fillId="0" borderId="15" xfId="0" applyFont="1" applyFill="1" applyBorder="1" applyAlignment="1" applyProtection="1">
      <alignment horizontal="right"/>
      <protection hidden="1"/>
    </xf>
    <xf numFmtId="196" fontId="30" fillId="0" borderId="4" xfId="0" applyNumberFormat="1" applyFont="1" applyFill="1" applyBorder="1" applyAlignment="1" applyProtection="1">
      <alignment horizontal="right"/>
      <protection hidden="1"/>
    </xf>
    <xf numFmtId="1" fontId="19" fillId="0" borderId="5" xfId="0" applyNumberFormat="1" applyFont="1" applyFill="1" applyBorder="1" applyAlignment="1" applyProtection="1">
      <alignment/>
      <protection hidden="1"/>
    </xf>
    <xf numFmtId="0" fontId="92" fillId="2" borderId="0" xfId="0" applyFont="1" applyFill="1" applyAlignment="1" applyProtection="1">
      <alignment/>
      <protection hidden="1"/>
    </xf>
    <xf numFmtId="0" fontId="36" fillId="2" borderId="0" xfId="0" applyFont="1" applyFill="1" applyAlignment="1" applyProtection="1">
      <alignment/>
      <protection hidden="1"/>
    </xf>
    <xf numFmtId="0" fontId="93" fillId="2" borderId="0" xfId="0" applyFont="1" applyFill="1" applyAlignment="1" applyProtection="1">
      <alignment/>
      <protection hidden="1"/>
    </xf>
    <xf numFmtId="15" fontId="15" fillId="12" borderId="3" xfId="0" applyNumberFormat="1" applyFont="1" applyFill="1" applyBorder="1" applyAlignment="1" applyProtection="1">
      <alignment/>
      <protection locked="0"/>
    </xf>
    <xf numFmtId="0" fontId="0" fillId="12" borderId="4" xfId="0" applyFill="1" applyBorder="1" applyAlignment="1" applyProtection="1">
      <alignment/>
      <protection locked="0"/>
    </xf>
    <xf numFmtId="0" fontId="0" fillId="12" borderId="15" xfId="0" applyFill="1" applyBorder="1" applyAlignment="1" applyProtection="1">
      <alignment/>
      <protection locked="0"/>
    </xf>
    <xf numFmtId="15" fontId="53" fillId="2" borderId="0" xfId="0" applyNumberFormat="1" applyFont="1" applyFill="1" applyAlignment="1" applyProtection="1">
      <alignment horizontal="center"/>
      <protection hidden="1"/>
    </xf>
    <xf numFmtId="0" fontId="0" fillId="0" borderId="0" xfId="0" applyAlignment="1">
      <alignment/>
    </xf>
    <xf numFmtId="197" fontId="35" fillId="5" borderId="0" xfId="0" applyNumberFormat="1" applyFont="1" applyFill="1" applyBorder="1" applyAlignment="1" applyProtection="1">
      <alignment horizontal="center"/>
      <protection hidden="1"/>
    </xf>
    <xf numFmtId="2" fontId="13" fillId="0" borderId="6" xfId="0" applyNumberFormat="1" applyFont="1" applyFill="1" applyBorder="1" applyAlignment="1" applyProtection="1">
      <alignment horizontal="right"/>
      <protection hidden="1"/>
    </xf>
    <xf numFmtId="0" fontId="0" fillId="0" borderId="6" xfId="0" applyBorder="1" applyAlignment="1" applyProtection="1">
      <alignment horizontal="right"/>
      <protection hidden="1"/>
    </xf>
    <xf numFmtId="0" fontId="0" fillId="0" borderId="14" xfId="0" applyBorder="1" applyAlignment="1" applyProtection="1">
      <alignment horizontal="right"/>
      <protection hidden="1"/>
    </xf>
    <xf numFmtId="0" fontId="0" fillId="0" borderId="0" xfId="0" applyAlignment="1" applyProtection="1">
      <alignment horizontal="right"/>
      <protection hidden="1"/>
    </xf>
    <xf numFmtId="0" fontId="0" fillId="0" borderId="8" xfId="0" applyBorder="1" applyAlignment="1" applyProtection="1">
      <alignment horizontal="right"/>
      <protection hidden="1"/>
    </xf>
    <xf numFmtId="15" fontId="9" fillId="9" borderId="0" xfId="0" applyNumberFormat="1" applyFont="1" applyFill="1" applyBorder="1" applyAlignment="1" applyProtection="1">
      <alignment horizontal="left"/>
      <protection hidden="1"/>
    </xf>
    <xf numFmtId="0" fontId="9" fillId="9" borderId="0" xfId="0" applyFont="1" applyFill="1" applyAlignment="1">
      <alignment/>
    </xf>
    <xf numFmtId="0" fontId="22" fillId="11" borderId="5" xfId="0" applyFont="1" applyFill="1" applyBorder="1" applyAlignment="1" applyProtection="1">
      <alignment/>
      <protection hidden="1"/>
    </xf>
    <xf numFmtId="0" fontId="0" fillId="0" borderId="6" xfId="0" applyBorder="1" applyAlignment="1">
      <alignment/>
    </xf>
    <xf numFmtId="0" fontId="0" fillId="0" borderId="1" xfId="0" applyBorder="1" applyAlignment="1">
      <alignment/>
    </xf>
    <xf numFmtId="0" fontId="0" fillId="0" borderId="2" xfId="0" applyBorder="1" applyAlignment="1">
      <alignment/>
    </xf>
    <xf numFmtId="0" fontId="28" fillId="11" borderId="6" xfId="0" applyFont="1" applyFill="1" applyBorder="1" applyAlignment="1" applyProtection="1">
      <alignment horizontal="left"/>
      <protection hidden="1"/>
    </xf>
    <xf numFmtId="0" fontId="0" fillId="0" borderId="6" xfId="0" applyFont="1" applyBorder="1" applyAlignment="1">
      <alignment/>
    </xf>
    <xf numFmtId="0" fontId="0" fillId="0" borderId="2" xfId="0" applyFont="1" applyBorder="1" applyAlignment="1">
      <alignment/>
    </xf>
    <xf numFmtId="0" fontId="65" fillId="11" borderId="6" xfId="0" applyFont="1" applyFill="1" applyBorder="1" applyAlignment="1" applyProtection="1">
      <alignment horizontal="left"/>
      <protection hidden="1"/>
    </xf>
    <xf numFmtId="0" fontId="0" fillId="0" borderId="6" xfId="0" applyBorder="1" applyAlignment="1">
      <alignment horizontal="left"/>
    </xf>
    <xf numFmtId="0" fontId="0" fillId="0" borderId="2" xfId="0" applyBorder="1" applyAlignment="1">
      <alignment horizontal="left"/>
    </xf>
    <xf numFmtId="0" fontId="56" fillId="11" borderId="6" xfId="0" applyFont="1" applyFill="1" applyBorder="1" applyAlignment="1" applyProtection="1">
      <alignment/>
      <protection hidden="1"/>
    </xf>
    <xf numFmtId="15" fontId="33" fillId="4" borderId="0" xfId="0" applyNumberFormat="1" applyFont="1" applyFill="1" applyBorder="1" applyAlignment="1" applyProtection="1">
      <alignment horizontal="left"/>
      <protection hidden="1"/>
    </xf>
    <xf numFmtId="0" fontId="33" fillId="4" borderId="0" xfId="0" applyFont="1" applyFill="1" applyAlignment="1" applyProtection="1">
      <alignment/>
      <protection hidden="1"/>
    </xf>
    <xf numFmtId="2" fontId="30" fillId="0" borderId="4" xfId="0" applyNumberFormat="1" applyFont="1" applyFill="1" applyBorder="1" applyAlignment="1" applyProtection="1">
      <alignment horizontal="center"/>
      <protection hidden="1"/>
    </xf>
    <xf numFmtId="0" fontId="1" fillId="0" borderId="4" xfId="0" applyFont="1" applyBorder="1" applyAlignment="1">
      <alignment horizontal="center"/>
    </xf>
    <xf numFmtId="197" fontId="30" fillId="4" borderId="0" xfId="0" applyNumberFormat="1" applyFont="1" applyFill="1" applyBorder="1" applyAlignment="1" applyProtection="1">
      <alignment horizontal="center"/>
      <protection hidden="1"/>
    </xf>
    <xf numFmtId="2" fontId="30" fillId="0" borderId="4" xfId="0" applyNumberFormat="1" applyFont="1" applyFill="1" applyBorder="1" applyAlignment="1" applyProtection="1">
      <alignment horizontal="left"/>
      <protection hidden="1"/>
    </xf>
    <xf numFmtId="0" fontId="0" fillId="0" borderId="4" xfId="0" applyBorder="1" applyAlignment="1">
      <alignment horizontal="left"/>
    </xf>
    <xf numFmtId="2" fontId="30" fillId="0" borderId="3" xfId="0" applyNumberFormat="1" applyFont="1" applyFill="1" applyBorder="1" applyAlignment="1" applyProtection="1">
      <alignment horizontal="center"/>
      <protection hidden="1"/>
    </xf>
    <xf numFmtId="0" fontId="0" fillId="0" borderId="4" xfId="0" applyBorder="1" applyAlignment="1">
      <alignment horizontal="center"/>
    </xf>
    <xf numFmtId="0" fontId="0" fillId="0" borderId="15" xfId="0" applyBorder="1" applyAlignment="1">
      <alignment horizontal="center"/>
    </xf>
    <xf numFmtId="0" fontId="65" fillId="6" borderId="6" xfId="0" applyFont="1" applyFill="1" applyBorder="1" applyAlignment="1" applyProtection="1">
      <alignment horizontal="right"/>
      <protection hidden="1"/>
    </xf>
    <xf numFmtId="0" fontId="0" fillId="0" borderId="14" xfId="0" applyBorder="1" applyAlignment="1">
      <alignment/>
    </xf>
    <xf numFmtId="0" fontId="0" fillId="0" borderId="1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15</xdr:row>
      <xdr:rowOff>66675</xdr:rowOff>
    </xdr:from>
    <xdr:to>
      <xdr:col>2</xdr:col>
      <xdr:colOff>647700</xdr:colOff>
      <xdr:row>30</xdr:row>
      <xdr:rowOff>9525</xdr:rowOff>
    </xdr:to>
    <xdr:pic>
      <xdr:nvPicPr>
        <xdr:cNvPr id="1" name="Picture 1"/>
        <xdr:cNvPicPr preferRelativeResize="1">
          <a:picLocks noChangeAspect="1"/>
        </xdr:cNvPicPr>
      </xdr:nvPicPr>
      <xdr:blipFill>
        <a:blip r:embed="rId1"/>
        <a:stretch>
          <a:fillRect/>
        </a:stretch>
      </xdr:blipFill>
      <xdr:spPr>
        <a:xfrm>
          <a:off x="76200" y="2867025"/>
          <a:ext cx="2533650" cy="2266950"/>
        </a:xfrm>
        <a:prstGeom prst="rect">
          <a:avLst/>
        </a:prstGeom>
        <a:noFill/>
        <a:ln w="9525" cmpd="sng">
          <a:noFill/>
        </a:ln>
      </xdr:spPr>
    </xdr:pic>
    <xdr:clientData/>
  </xdr:twoCellAnchor>
  <xdr:oneCellAnchor>
    <xdr:from>
      <xdr:col>2</xdr:col>
      <xdr:colOff>695325</xdr:colOff>
      <xdr:row>16</xdr:row>
      <xdr:rowOff>57150</xdr:rowOff>
    </xdr:from>
    <xdr:ext cx="3543300" cy="2143125"/>
    <xdr:sp>
      <xdr:nvSpPr>
        <xdr:cNvPr id="2" name="TextBox 16"/>
        <xdr:cNvSpPr txBox="1">
          <a:spLocks noChangeArrowheads="1"/>
        </xdr:cNvSpPr>
      </xdr:nvSpPr>
      <xdr:spPr>
        <a:xfrm>
          <a:off x="2657475" y="2924175"/>
          <a:ext cx="3543300" cy="2143125"/>
        </a:xfrm>
        <a:prstGeom prst="rect">
          <a:avLst/>
        </a:prstGeom>
        <a:noFill/>
        <a:ln w="9525" cmpd="sng">
          <a:noFill/>
        </a:ln>
      </xdr:spPr>
      <xdr:txBody>
        <a:bodyPr vertOverflow="clip" wrap="square"/>
        <a:p>
          <a:pPr algn="l">
            <a:defRPr/>
          </a:pPr>
          <a:r>
            <a:rPr lang="en-US" cap="none" sz="1000" b="1" i="0" u="none" baseline="0">
              <a:solidFill>
                <a:srgbClr val="000080"/>
              </a:solidFill>
              <a:latin typeface="Times New Roman"/>
              <a:ea typeface="Times New Roman"/>
              <a:cs typeface="Times New Roman"/>
            </a:rPr>
            <a:t>Advertencias</a:t>
          </a:r>
          <a:r>
            <a:rPr lang="en-US" cap="none" sz="1000" b="0" i="0" u="none" baseline="0">
              <a:solidFill>
                <a:srgbClr val="000080"/>
              </a:solidFill>
              <a:latin typeface="Times New Roman"/>
              <a:ea typeface="Times New Roman"/>
              <a:cs typeface="Times New Roman"/>
            </a:rPr>
            <a:t>
•Esta calculadora es una guia orientativa para evitar errores en la prescripción y dosificación. En ningún caso debería obviarse el cálculo individualizado para cada paciente. 
•Las dosis recomendadas pueden variar en el tiempo y pueden ser otras en pacientes específicos.
•Las formas de presentación que aparecen son las más frecuentes en nuestro medio, sin embargo se debería ser muy cuidadoso al comprobar que la concentración del preparado a usar coincide con la que aparece en la hoja.</a:t>
          </a:r>
          <a:r>
            <a:rPr lang="en-US" cap="none" sz="1200" b="0" i="0" u="none" baseline="0">
              <a:solidFill>
                <a:srgbClr val="000080"/>
              </a:solidFill>
              <a:latin typeface="Arial"/>
              <a:ea typeface="Arial"/>
              <a:cs typeface="Arial"/>
            </a:rPr>
            <a:t>
</a:t>
          </a:r>
        </a:p>
      </xdr:txBody>
    </xdr:sp>
    <xdr:clientData/>
  </xdr:oneCellAnchor>
  <xdr:oneCellAnchor>
    <xdr:from>
      <xdr:col>0</xdr:col>
      <xdr:colOff>66675</xdr:colOff>
      <xdr:row>40</xdr:row>
      <xdr:rowOff>57150</xdr:rowOff>
    </xdr:from>
    <xdr:ext cx="6305550" cy="1295400"/>
    <xdr:sp>
      <xdr:nvSpPr>
        <xdr:cNvPr id="3" name="TextBox 17"/>
        <xdr:cNvSpPr txBox="1">
          <a:spLocks noChangeArrowheads="1"/>
        </xdr:cNvSpPr>
      </xdr:nvSpPr>
      <xdr:spPr>
        <a:xfrm>
          <a:off x="66675" y="6848475"/>
          <a:ext cx="6305550" cy="1295400"/>
        </a:xfrm>
        <a:prstGeom prst="rect">
          <a:avLst/>
        </a:prstGeom>
        <a:noFill/>
        <a:ln w="9525" cmpd="sng">
          <a:noFill/>
        </a:ln>
      </xdr:spPr>
      <xdr:txBody>
        <a:bodyPr vertOverflow="clip" wrap="square"/>
        <a:p>
          <a:pPr algn="l">
            <a:defRPr/>
          </a:pPr>
          <a:r>
            <a:rPr lang="en-US" cap="none" sz="900" b="1" i="0" u="none" baseline="0">
              <a:solidFill>
                <a:srgbClr val="000080"/>
              </a:solidFill>
              <a:latin typeface="Times New Roman"/>
              <a:ea typeface="Times New Roman"/>
              <a:cs typeface="Times New Roman"/>
            </a:rPr>
            <a:t>Principal Bibliografía utilizada</a:t>
          </a:r>
          <a:r>
            <a:rPr lang="en-US" cap="none" sz="800" b="0" i="0" u="none" baseline="0">
              <a:solidFill>
                <a:srgbClr val="000080"/>
              </a:solidFill>
              <a:latin typeface="Times New Roman"/>
              <a:ea typeface="Times New Roman"/>
              <a:cs typeface="Times New Roman"/>
            </a:rPr>
            <a:t>
</a:t>
          </a:r>
          <a:r>
            <a:rPr lang="en-US" cap="none" sz="700" b="0" i="0" u="none" baseline="0">
              <a:solidFill>
                <a:srgbClr val="000080"/>
              </a:solidFill>
              <a:latin typeface="Times New Roman"/>
              <a:ea typeface="Times New Roman"/>
              <a:cs typeface="Times New Roman"/>
            </a:rPr>
            <a:t>-International Guidelines for Neonatal Resuscitation: An Excerpt From the Guidelines 2000 for Cardiopulmonary Resuscitation and Emergency Cardiovascular Care: International Consensus  Pediatrics 2000; 106(3): p. e29. 
-Young T E, Mangum B (eds). Neofax 2000: a manual of drugs used in neonatal care, ed 13. Raleigh, NC: Acorn Publishing, USA, 2000.
-Rennie JM, NRC Roberton (eds) Textbook of Neonatology 3 ed. London: Churchill Livingstone 1999.
-Taketomo C K, Hodding J H, Kraus D M. Pediatric Dosage Handbook, ed 5 1998-1999. Hudson CL: Lexi-Comp’s, USA, 1998
-Cloherty JP, Stark AR (eds). Manual of neonatal care. 4 ed. Boston: Little, Brown &amp; Co 1997.
-Barroso C, Moraga F (eds). Guia de Antiinfecciosos en pediatría 1998. 5 ed. Barcelona: Prous Science 1998.
-S.Farmacia-S. Neonatología. H. Universitario Materno-Infantil Valle Hebrón. Barcelona. Guía de dosificación de antimicrobianos en Neonatos 1998.</a:t>
          </a:r>
        </a:p>
      </xdr:txBody>
    </xdr:sp>
    <xdr:clientData/>
  </xdr:oneCellAnchor>
  <xdr:oneCellAnchor>
    <xdr:from>
      <xdr:col>0</xdr:col>
      <xdr:colOff>95250</xdr:colOff>
      <xdr:row>49</xdr:row>
      <xdr:rowOff>57150</xdr:rowOff>
    </xdr:from>
    <xdr:ext cx="6419850" cy="1228725"/>
    <xdr:sp>
      <xdr:nvSpPr>
        <xdr:cNvPr id="4" name="TextBox 18"/>
        <xdr:cNvSpPr txBox="1">
          <a:spLocks noChangeArrowheads="1"/>
        </xdr:cNvSpPr>
      </xdr:nvSpPr>
      <xdr:spPr>
        <a:xfrm>
          <a:off x="95250" y="8305800"/>
          <a:ext cx="6419850" cy="1228725"/>
        </a:xfrm>
        <a:prstGeom prst="rect">
          <a:avLst/>
        </a:prstGeom>
        <a:noFill/>
        <a:ln w="9525" cmpd="sng">
          <a:noFill/>
        </a:ln>
      </xdr:spPr>
      <xdr:txBody>
        <a:bodyPr vertOverflow="clip" wrap="square"/>
        <a:p>
          <a:pPr algn="l">
            <a:defRPr/>
          </a:pPr>
          <a:r>
            <a:rPr lang="en-US" cap="none" sz="1000" b="1" i="0" u="none" baseline="0">
              <a:solidFill>
                <a:srgbClr val="000080"/>
              </a:solidFill>
              <a:latin typeface="Times New Roman"/>
              <a:ea typeface="Times New Roman"/>
              <a:cs typeface="Times New Roman"/>
            </a:rPr>
            <a:t>Créditos</a:t>
          </a:r>
          <a:r>
            <a:rPr lang="en-US" cap="none" sz="1000" b="0" i="0" u="none" baseline="0">
              <a:solidFill>
                <a:srgbClr val="000080"/>
              </a:solidFill>
              <a:latin typeface="Times New Roman"/>
              <a:ea typeface="Times New Roman"/>
              <a:cs typeface="Times New Roman"/>
            </a:rPr>
            <a:t>
UIPA -  Universitat Rovira i Virgili.       J Albert Balaguer Santamaría 
</a:t>
          </a:r>
          <a:r>
            <a:rPr lang="en-US" cap="none" sz="900" b="0" i="0" u="none" baseline="0">
              <a:solidFill>
                <a:srgbClr val="000080"/>
              </a:solidFill>
              <a:latin typeface="Times New Roman"/>
              <a:ea typeface="Times New Roman"/>
              <a:cs typeface="Times New Roman"/>
            </a:rPr>
            <a:t>Aunque se ha puesto el máximo cuidado en la elaboración y prueba de Neodosis, es posible que se hubiera deslizado algún error.  Se agradece la notificación de los  mismos mediante email a:
abalaguer@grupsgs.com       ó       jabs@fmcs.urv.es
En tal caso, se hará llegar una nueva versión corregida al notificante.
El autor agradece cualquier comentario o sugerencia para mejorar la utilidad y exactitud de la aplicación. </a:t>
          </a:r>
        </a:p>
      </xdr:txBody>
    </xdr:sp>
    <xdr:clientData/>
  </xdr:oneCellAnchor>
  <xdr:twoCellAnchor>
    <xdr:from>
      <xdr:col>0</xdr:col>
      <xdr:colOff>123825</xdr:colOff>
      <xdr:row>31</xdr:row>
      <xdr:rowOff>38100</xdr:rowOff>
    </xdr:from>
    <xdr:to>
      <xdr:col>9</xdr:col>
      <xdr:colOff>152400</xdr:colOff>
      <xdr:row>39</xdr:row>
      <xdr:rowOff>95250</xdr:rowOff>
    </xdr:to>
    <xdr:sp>
      <xdr:nvSpPr>
        <xdr:cNvPr id="5" name="Rectangle 23"/>
        <xdr:cNvSpPr>
          <a:spLocks/>
        </xdr:cNvSpPr>
      </xdr:nvSpPr>
      <xdr:spPr>
        <a:xfrm>
          <a:off x="123825" y="5372100"/>
          <a:ext cx="6419850" cy="1352550"/>
        </a:xfrm>
        <a:prstGeom prst="rect">
          <a:avLst/>
        </a:prstGeom>
        <a:noFill/>
        <a:ln w="3175" cmpd="sng">
          <a:solidFill>
            <a:srgbClr val="99CC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1019175</xdr:colOff>
      <xdr:row>30</xdr:row>
      <xdr:rowOff>57150</xdr:rowOff>
    </xdr:from>
    <xdr:ext cx="3305175" cy="1409700"/>
    <xdr:sp>
      <xdr:nvSpPr>
        <xdr:cNvPr id="6" name="TextBox 21"/>
        <xdr:cNvSpPr txBox="1">
          <a:spLocks noChangeArrowheads="1"/>
        </xdr:cNvSpPr>
      </xdr:nvSpPr>
      <xdr:spPr>
        <a:xfrm>
          <a:off x="2981325" y="5229225"/>
          <a:ext cx="3305175" cy="1409700"/>
        </a:xfrm>
        <a:prstGeom prst="rect">
          <a:avLst/>
        </a:prstGeom>
        <a:noFill/>
        <a:ln w="9525" cmpd="sng">
          <a:noFill/>
        </a:ln>
      </xdr:spPr>
      <xdr:txBody>
        <a:bodyPr vertOverflow="clip" wrap="square"/>
        <a:p>
          <a:pPr algn="l">
            <a:defRPr/>
          </a:pPr>
          <a:r>
            <a:rPr lang="en-US" cap="none" sz="900" b="0" i="0" u="none" baseline="0">
              <a:solidFill>
                <a:srgbClr val="000080"/>
              </a:solidFill>
              <a:latin typeface="Times New Roman"/>
              <a:ea typeface="Times New Roman"/>
              <a:cs typeface="Times New Roman"/>
            </a:rPr>
            <a:t>
</a:t>
          </a:r>
          <a:r>
            <a:rPr lang="en-US" cap="none" sz="800" b="0" i="0" u="none" baseline="0">
              <a:solidFill>
                <a:srgbClr val="000080"/>
              </a:solidFill>
              <a:latin typeface="Times New Roman"/>
              <a:ea typeface="Times New Roman"/>
              <a:cs typeface="Times New Roman"/>
            </a:rPr>
            <a:t>ev:  Vía endovenosa   
IM:  Vía intramuscular  
ET:  Vía endotraqueal
ml:   Mililitros
mcg:  Microgramos  
EPM: Edad postmenstrual 
      (semanas de vida contando desde la FUR materna)</a:t>
          </a:r>
        </a:p>
      </xdr:txBody>
    </xdr:sp>
    <xdr:clientData/>
  </xdr:oneCellAnchor>
  <xdr:oneCellAnchor>
    <xdr:from>
      <xdr:col>0</xdr:col>
      <xdr:colOff>123825</xdr:colOff>
      <xdr:row>30</xdr:row>
      <xdr:rowOff>28575</xdr:rowOff>
    </xdr:from>
    <xdr:ext cx="3152775" cy="1257300"/>
    <xdr:sp>
      <xdr:nvSpPr>
        <xdr:cNvPr id="7" name="TextBox 19"/>
        <xdr:cNvSpPr txBox="1">
          <a:spLocks noChangeArrowheads="1"/>
        </xdr:cNvSpPr>
      </xdr:nvSpPr>
      <xdr:spPr>
        <a:xfrm>
          <a:off x="123825" y="5200650"/>
          <a:ext cx="3152775" cy="1257300"/>
        </a:xfrm>
        <a:prstGeom prst="rect">
          <a:avLst/>
        </a:prstGeom>
        <a:noFill/>
        <a:ln w="9525" cmpd="sng">
          <a:noFill/>
        </a:ln>
      </xdr:spPr>
      <xdr:txBody>
        <a:bodyPr vertOverflow="clip" wrap="square"/>
        <a:p>
          <a:pPr algn="l">
            <a:defRPr/>
          </a:pPr>
          <a:r>
            <a:rPr lang="en-US" cap="none" sz="1000" b="1" i="0" u="none" baseline="0">
              <a:solidFill>
                <a:srgbClr val="000080"/>
              </a:solidFill>
              <a:latin typeface="Times New Roman"/>
              <a:ea typeface="Times New Roman"/>
              <a:cs typeface="Times New Roman"/>
            </a:rPr>
            <a:t>Principiales abreviaturas utilizadas</a:t>
          </a:r>
          <a:r>
            <a:rPr lang="en-US" cap="none" sz="900" b="0" i="0" u="none" baseline="0">
              <a:solidFill>
                <a:srgbClr val="000080"/>
              </a:solidFill>
              <a:latin typeface="Times New Roman"/>
              <a:ea typeface="Times New Roman"/>
              <a:cs typeface="Times New Roman"/>
            </a:rPr>
            <a:t>
</a:t>
          </a:r>
          <a:r>
            <a:rPr lang="en-US" cap="none" sz="800" b="0" i="0" u="none" baseline="0">
              <a:solidFill>
                <a:srgbClr val="000080"/>
              </a:solidFill>
              <a:latin typeface="Times New Roman"/>
              <a:ea typeface="Times New Roman"/>
              <a:cs typeface="Times New Roman"/>
            </a:rPr>
            <a:t>s/a.:  Según algunos autores y/o trabajos  
Mtº.:   Mantenimiento   
RL:  Ringer Lactato
H2O:  Agua destilada para inyección  
SF:  Suero fisiológico
SG:  Suero glucosado.</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44</xdr:row>
      <xdr:rowOff>28575</xdr:rowOff>
    </xdr:from>
    <xdr:to>
      <xdr:col>1</xdr:col>
      <xdr:colOff>1276350</xdr:colOff>
      <xdr:row>46</xdr:row>
      <xdr:rowOff>0</xdr:rowOff>
    </xdr:to>
    <xdr:sp>
      <xdr:nvSpPr>
        <xdr:cNvPr id="1" name="Rectangle 12"/>
        <xdr:cNvSpPr>
          <a:spLocks/>
        </xdr:cNvSpPr>
      </xdr:nvSpPr>
      <xdr:spPr>
        <a:xfrm>
          <a:off x="523875" y="6410325"/>
          <a:ext cx="828675" cy="1714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9525</xdr:colOff>
      <xdr:row>46</xdr:row>
      <xdr:rowOff>0</xdr:rowOff>
    </xdr:from>
    <xdr:to>
      <xdr:col>19</xdr:col>
      <xdr:colOff>9525</xdr:colOff>
      <xdr:row>46</xdr:row>
      <xdr:rowOff>0</xdr:rowOff>
    </xdr:to>
    <xdr:sp>
      <xdr:nvSpPr>
        <xdr:cNvPr id="2" name="Line 14"/>
        <xdr:cNvSpPr>
          <a:spLocks/>
        </xdr:cNvSpPr>
      </xdr:nvSpPr>
      <xdr:spPr>
        <a:xfrm>
          <a:off x="9525" y="6581775"/>
          <a:ext cx="106013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xdr:col>
      <xdr:colOff>533400</xdr:colOff>
      <xdr:row>44</xdr:row>
      <xdr:rowOff>38100</xdr:rowOff>
    </xdr:from>
    <xdr:ext cx="676275" cy="200025"/>
    <xdr:sp>
      <xdr:nvSpPr>
        <xdr:cNvPr id="3" name="TextBox 16"/>
        <xdr:cNvSpPr txBox="1">
          <a:spLocks noChangeArrowheads="1"/>
        </xdr:cNvSpPr>
      </xdr:nvSpPr>
      <xdr:spPr>
        <a:xfrm>
          <a:off x="609600" y="6419850"/>
          <a:ext cx="676275" cy="200025"/>
        </a:xfrm>
        <a:prstGeom prst="rect">
          <a:avLst/>
        </a:prstGeom>
        <a:noFill/>
        <a:ln w="9525" cmpd="sng">
          <a:noFill/>
        </a:ln>
      </xdr:spPr>
      <xdr:txBody>
        <a:bodyPr vertOverflow="clip" wrap="square">
          <a:spAutoFit/>
        </a:bodyPr>
        <a:p>
          <a:pPr algn="l">
            <a:defRPr/>
          </a:pPr>
          <a:r>
            <a:rPr lang="en-US" cap="none" sz="900" b="0" i="0" u="none" baseline="0">
              <a:latin typeface="Geneva"/>
              <a:ea typeface="Geneva"/>
              <a:cs typeface="Geneva"/>
            </a:rPr>
            <a:t>1-Reanim</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2171700</xdr:colOff>
      <xdr:row>56</xdr:row>
      <xdr:rowOff>28575</xdr:rowOff>
    </xdr:from>
    <xdr:to>
      <xdr:col>3</xdr:col>
      <xdr:colOff>152400</xdr:colOff>
      <xdr:row>58</xdr:row>
      <xdr:rowOff>0</xdr:rowOff>
    </xdr:to>
    <xdr:sp>
      <xdr:nvSpPr>
        <xdr:cNvPr id="1" name="Rectangle 3"/>
        <xdr:cNvSpPr>
          <a:spLocks/>
        </xdr:cNvSpPr>
      </xdr:nvSpPr>
      <xdr:spPr>
        <a:xfrm>
          <a:off x="2238375" y="7124700"/>
          <a:ext cx="704850" cy="1428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58</xdr:row>
      <xdr:rowOff>0</xdr:rowOff>
    </xdr:from>
    <xdr:to>
      <xdr:col>17</xdr:col>
      <xdr:colOff>9525</xdr:colOff>
      <xdr:row>58</xdr:row>
      <xdr:rowOff>0</xdr:rowOff>
    </xdr:to>
    <xdr:sp>
      <xdr:nvSpPr>
        <xdr:cNvPr id="2" name="Line 4"/>
        <xdr:cNvSpPr>
          <a:spLocks/>
        </xdr:cNvSpPr>
      </xdr:nvSpPr>
      <xdr:spPr>
        <a:xfrm>
          <a:off x="0" y="7267575"/>
          <a:ext cx="10277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xdr:col>
      <xdr:colOff>2228850</xdr:colOff>
      <xdr:row>56</xdr:row>
      <xdr:rowOff>9525</xdr:rowOff>
    </xdr:from>
    <xdr:ext cx="619125" cy="200025"/>
    <xdr:sp>
      <xdr:nvSpPr>
        <xdr:cNvPr id="3" name="TextBox 5"/>
        <xdr:cNvSpPr txBox="1">
          <a:spLocks noChangeArrowheads="1"/>
        </xdr:cNvSpPr>
      </xdr:nvSpPr>
      <xdr:spPr>
        <a:xfrm>
          <a:off x="2295525" y="7105650"/>
          <a:ext cx="619125" cy="200025"/>
        </a:xfrm>
        <a:prstGeom prst="rect">
          <a:avLst/>
        </a:prstGeom>
        <a:noFill/>
        <a:ln w="9525" cmpd="sng">
          <a:noFill/>
        </a:ln>
      </xdr:spPr>
      <xdr:txBody>
        <a:bodyPr vertOverflow="clip" wrap="square"/>
        <a:p>
          <a:pPr algn="l">
            <a:defRPr/>
          </a:pPr>
          <a:r>
            <a:rPr lang="en-US" cap="none" sz="900" b="0" i="0" u="none" baseline="0">
              <a:latin typeface="Geneva"/>
              <a:ea typeface="Geneva"/>
              <a:cs typeface="Geneva"/>
            </a:rPr>
            <a:t>2-Emerg</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31</xdr:row>
      <xdr:rowOff>9525</xdr:rowOff>
    </xdr:from>
    <xdr:to>
      <xdr:col>6</xdr:col>
      <xdr:colOff>171450</xdr:colOff>
      <xdr:row>32</xdr:row>
      <xdr:rowOff>28575</xdr:rowOff>
    </xdr:to>
    <xdr:sp>
      <xdr:nvSpPr>
        <xdr:cNvPr id="1" name="Line 5"/>
        <xdr:cNvSpPr>
          <a:spLocks/>
        </xdr:cNvSpPr>
      </xdr:nvSpPr>
      <xdr:spPr>
        <a:xfrm>
          <a:off x="2362200" y="4133850"/>
          <a:ext cx="0" cy="190500"/>
        </a:xfrm>
        <a:prstGeom prst="line">
          <a:avLst/>
        </a:prstGeom>
        <a:noFill/>
        <a:ln w="3175" cmpd="sng">
          <a:solidFill>
            <a:srgbClr val="80000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561975</xdr:colOff>
      <xdr:row>81</xdr:row>
      <xdr:rowOff>142875</xdr:rowOff>
    </xdr:from>
    <xdr:to>
      <xdr:col>4</xdr:col>
      <xdr:colOff>152400</xdr:colOff>
      <xdr:row>82</xdr:row>
      <xdr:rowOff>142875</xdr:rowOff>
    </xdr:to>
    <xdr:sp>
      <xdr:nvSpPr>
        <xdr:cNvPr id="2" name="Rectangle 7"/>
        <xdr:cNvSpPr>
          <a:spLocks/>
        </xdr:cNvSpPr>
      </xdr:nvSpPr>
      <xdr:spPr>
        <a:xfrm>
          <a:off x="800100" y="10744200"/>
          <a:ext cx="704850" cy="152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82</xdr:row>
      <xdr:rowOff>142875</xdr:rowOff>
    </xdr:from>
    <xdr:to>
      <xdr:col>21</xdr:col>
      <xdr:colOff>57150</xdr:colOff>
      <xdr:row>82</xdr:row>
      <xdr:rowOff>142875</xdr:rowOff>
    </xdr:to>
    <xdr:sp>
      <xdr:nvSpPr>
        <xdr:cNvPr id="3" name="Line 8"/>
        <xdr:cNvSpPr>
          <a:spLocks/>
        </xdr:cNvSpPr>
      </xdr:nvSpPr>
      <xdr:spPr>
        <a:xfrm>
          <a:off x="0" y="10896600"/>
          <a:ext cx="8372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685800</xdr:colOff>
      <xdr:row>82</xdr:row>
      <xdr:rowOff>0</xdr:rowOff>
    </xdr:from>
    <xdr:ext cx="552450" cy="190500"/>
    <xdr:sp>
      <xdr:nvSpPr>
        <xdr:cNvPr id="4" name="TextBox 10"/>
        <xdr:cNvSpPr txBox="1">
          <a:spLocks noChangeArrowheads="1"/>
        </xdr:cNvSpPr>
      </xdr:nvSpPr>
      <xdr:spPr>
        <a:xfrm>
          <a:off x="923925" y="10753725"/>
          <a:ext cx="552450" cy="190500"/>
        </a:xfrm>
        <a:prstGeom prst="rect">
          <a:avLst/>
        </a:prstGeom>
        <a:noFill/>
        <a:ln w="9525" cmpd="sng">
          <a:noFill/>
        </a:ln>
      </xdr:spPr>
      <xdr:txBody>
        <a:bodyPr vertOverflow="clip" wrap="square">
          <a:spAutoFit/>
        </a:bodyPr>
        <a:p>
          <a:pPr algn="l">
            <a:defRPr/>
          </a:pPr>
          <a:r>
            <a:rPr lang="en-US" cap="none" sz="900" b="0" i="0" u="none" baseline="0">
              <a:latin typeface="Geneva"/>
              <a:ea typeface="Geneva"/>
              <a:cs typeface="Geneva"/>
            </a:rPr>
            <a:t>3-Otros</a:t>
          </a:r>
        </a:p>
      </xdr:txBody>
    </xdr:sp>
    <xdr:clientData/>
  </xdr:oneCellAnchor>
  <xdr:twoCellAnchor>
    <xdr:from>
      <xdr:col>2</xdr:col>
      <xdr:colOff>123825</xdr:colOff>
      <xdr:row>28</xdr:row>
      <xdr:rowOff>161925</xdr:rowOff>
    </xdr:from>
    <xdr:to>
      <xdr:col>2</xdr:col>
      <xdr:colOff>123825</xdr:colOff>
      <xdr:row>29</xdr:row>
      <xdr:rowOff>9525</xdr:rowOff>
    </xdr:to>
    <xdr:sp>
      <xdr:nvSpPr>
        <xdr:cNvPr id="5" name="Line 16"/>
        <xdr:cNvSpPr>
          <a:spLocks/>
        </xdr:cNvSpPr>
      </xdr:nvSpPr>
      <xdr:spPr>
        <a:xfrm>
          <a:off x="361950" y="3771900"/>
          <a:ext cx="0" cy="19050"/>
        </a:xfrm>
        <a:prstGeom prst="line">
          <a:avLst/>
        </a:prstGeom>
        <a:noFill/>
        <a:ln w="9525" cmpd="sng">
          <a:solidFill>
            <a:srgbClr val="00008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123825</xdr:colOff>
      <xdr:row>28</xdr:row>
      <xdr:rowOff>85725</xdr:rowOff>
    </xdr:from>
    <xdr:to>
      <xdr:col>2</xdr:col>
      <xdr:colOff>123825</xdr:colOff>
      <xdr:row>28</xdr:row>
      <xdr:rowOff>104775</xdr:rowOff>
    </xdr:to>
    <xdr:sp>
      <xdr:nvSpPr>
        <xdr:cNvPr id="6" name="Line 17"/>
        <xdr:cNvSpPr>
          <a:spLocks/>
        </xdr:cNvSpPr>
      </xdr:nvSpPr>
      <xdr:spPr>
        <a:xfrm>
          <a:off x="361950" y="3695700"/>
          <a:ext cx="0" cy="19050"/>
        </a:xfrm>
        <a:prstGeom prst="line">
          <a:avLst/>
        </a:prstGeom>
        <a:noFill/>
        <a:ln w="3175" cmpd="sng">
          <a:solidFill>
            <a:srgbClr val="000080"/>
          </a:solidFill>
          <a:headEnd type="none"/>
          <a:tailEnd type="arrow"/>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showGridLines="0" tabSelected="1" zoomScale="90" zoomScaleNormal="90" workbookViewId="0" topLeftCell="A4">
      <selection activeCell="K4" sqref="K1:K16384"/>
    </sheetView>
  </sheetViews>
  <sheetFormatPr defaultColWidth="11.00390625" defaultRowHeight="12"/>
  <cols>
    <col min="1" max="1" width="2.375" style="192" customWidth="1"/>
    <col min="2" max="2" width="23.375" style="192" customWidth="1"/>
    <col min="3" max="3" width="13.75390625" style="192" customWidth="1"/>
    <col min="4" max="4" width="1.25" style="192" customWidth="1"/>
    <col min="5" max="5" width="5.875" style="192" customWidth="1"/>
    <col min="6" max="6" width="5.25390625" style="192" customWidth="1"/>
    <col min="7" max="7" width="8.75390625" style="192" customWidth="1"/>
    <col min="8" max="8" width="10.875" style="192" customWidth="1"/>
    <col min="9" max="9" width="12.375" style="192" customWidth="1"/>
    <col min="10" max="10" width="6.625" style="231" customWidth="1"/>
    <col min="11" max="11" width="12.375" style="192" customWidth="1"/>
    <col min="12" max="16384" width="10.875" style="192" customWidth="1"/>
  </cols>
  <sheetData>
    <row r="1" spans="1:10" ht="6" customHeight="1">
      <c r="A1" s="1"/>
      <c r="B1" s="1"/>
      <c r="C1" s="1"/>
      <c r="D1" s="1"/>
      <c r="E1" s="1"/>
      <c r="F1" s="1"/>
      <c r="G1" s="1"/>
      <c r="H1" s="1"/>
      <c r="I1" s="1"/>
      <c r="J1" s="2"/>
    </row>
    <row r="2" spans="1:10" ht="27.75" customHeight="1">
      <c r="A2" s="1"/>
      <c r="B2" s="3" t="s">
        <v>115</v>
      </c>
      <c r="C2" s="1"/>
      <c r="D2" s="1"/>
      <c r="E2" s="1"/>
      <c r="F2" s="1"/>
      <c r="G2" s="1"/>
      <c r="H2" s="749">
        <f ca="1">TODAY()</f>
        <v>37466</v>
      </c>
      <c r="I2" s="750"/>
      <c r="J2" s="2"/>
    </row>
    <row r="3" spans="1:10" ht="25.5" customHeight="1">
      <c r="A3" s="1"/>
      <c r="B3" s="4" t="s">
        <v>292</v>
      </c>
      <c r="C3" s="1"/>
      <c r="D3" s="1"/>
      <c r="E3" s="1"/>
      <c r="F3" s="1"/>
      <c r="G3" s="1"/>
      <c r="H3" s="1"/>
      <c r="I3" s="1"/>
      <c r="J3" s="2"/>
    </row>
    <row r="4" spans="1:10" ht="16.5" customHeight="1">
      <c r="A4" s="1"/>
      <c r="B4" s="4"/>
      <c r="C4" s="1"/>
      <c r="D4" s="1"/>
      <c r="E4" s="1"/>
      <c r="F4" s="1"/>
      <c r="G4" s="1"/>
      <c r="H4" s="1"/>
      <c r="I4" s="1"/>
      <c r="J4" s="2"/>
    </row>
    <row r="5" spans="1:10" ht="25.5" customHeight="1">
      <c r="A5" s="1"/>
      <c r="B5" s="743" t="s">
        <v>138</v>
      </c>
      <c r="C5" s="1"/>
      <c r="D5" s="1"/>
      <c r="E5" s="1"/>
      <c r="F5" s="1"/>
      <c r="G5" s="1"/>
      <c r="H5" s="1"/>
      <c r="I5" s="1"/>
      <c r="J5" s="2"/>
    </row>
    <row r="6" spans="1:10" ht="6.75" customHeight="1">
      <c r="A6" s="1"/>
      <c r="B6" s="1"/>
      <c r="C6" s="1"/>
      <c r="D6" s="1"/>
      <c r="E6" s="1"/>
      <c r="F6" s="1"/>
      <c r="G6" s="1"/>
      <c r="H6" s="1"/>
      <c r="I6" s="1"/>
      <c r="J6" s="2"/>
    </row>
    <row r="7" spans="1:10" ht="15.75">
      <c r="A7" s="1"/>
      <c r="B7" s="488" t="s">
        <v>139</v>
      </c>
      <c r="C7" s="746" t="s">
        <v>364</v>
      </c>
      <c r="D7" s="747"/>
      <c r="E7" s="747"/>
      <c r="F7" s="747"/>
      <c r="G7" s="747"/>
      <c r="H7" s="747"/>
      <c r="I7" s="748"/>
      <c r="J7" s="2"/>
    </row>
    <row r="8" spans="1:10" ht="6.75" customHeight="1">
      <c r="A8" s="1"/>
      <c r="B8" s="5"/>
      <c r="C8" s="1"/>
      <c r="D8" s="1"/>
      <c r="E8" s="1"/>
      <c r="F8" s="1"/>
      <c r="G8" s="1"/>
      <c r="H8" s="1"/>
      <c r="I8" s="1"/>
      <c r="J8" s="2"/>
    </row>
    <row r="9" spans="1:10" ht="15.75">
      <c r="A9" s="1"/>
      <c r="B9" s="489" t="str">
        <f>IF(C9="","Introducir  F. de Nacimiento: ","Fecha de nacimiento: ")</f>
        <v>Fecha de nacimiento: </v>
      </c>
      <c r="C9" s="698">
        <v>36784</v>
      </c>
      <c r="D9" s="42" t="s">
        <v>276</v>
      </c>
      <c r="E9" s="603">
        <f>IF(C9="","",DAYS360(C9,H2))</f>
        <v>674</v>
      </c>
      <c r="F9" s="41" t="str">
        <f>IF(E9="","&lt;&lt;Introducir fecha nac. en formato 10/01/01",IF(E9&lt;0,"Cuidado: error en la fecha",IF(E9&lt;230,"días de vida",IF(E9&gt;230,"días. ¡¡Demasiado para un neonato !!","?"))))</f>
        <v>días. ¡¡Demasiado para un neonato !!</v>
      </c>
      <c r="G9" s="9"/>
      <c r="H9" s="1"/>
      <c r="I9" s="1"/>
      <c r="J9" s="2"/>
    </row>
    <row r="10" spans="1:10" ht="6.75" customHeight="1">
      <c r="A10" s="1"/>
      <c r="B10" s="1"/>
      <c r="C10" s="1"/>
      <c r="D10" s="1"/>
      <c r="E10" s="1"/>
      <c r="F10" s="1"/>
      <c r="G10" s="575"/>
      <c r="H10" s="575"/>
      <c r="I10" s="575"/>
      <c r="J10" s="2"/>
    </row>
    <row r="11" spans="1:10" ht="15.75">
      <c r="A11" s="1"/>
      <c r="B11" s="490" t="str">
        <f>IF(C11="","Introducir  peso en Kg.: ","Peso: ")</f>
        <v>Peso: </v>
      </c>
      <c r="C11" s="699">
        <v>0.74</v>
      </c>
      <c r="D11" s="41"/>
      <c r="E11" s="41" t="str">
        <f>IF(C11="","&lt;&lt;Introducir peso en Kg. ",IF(H16&gt;=9,"¡¡ introducir en formato adecuado !!","Kg"))</f>
        <v>Kg</v>
      </c>
      <c r="F11" s="41"/>
      <c r="G11" s="575"/>
      <c r="H11" s="575"/>
      <c r="I11" s="575"/>
      <c r="J11" s="2"/>
    </row>
    <row r="12" spans="1:10" ht="4.5" customHeight="1">
      <c r="A12" s="1"/>
      <c r="B12" s="7"/>
      <c r="C12" s="2"/>
      <c r="D12" s="1"/>
      <c r="E12" s="6"/>
      <c r="F12" s="2"/>
      <c r="G12" s="576"/>
      <c r="H12" s="575"/>
      <c r="I12" s="575"/>
      <c r="J12" s="2"/>
    </row>
    <row r="13" spans="1:10" ht="18.75" customHeight="1">
      <c r="A13" s="1"/>
      <c r="B13" s="1"/>
      <c r="C13" s="1"/>
      <c r="D13" s="1"/>
      <c r="E13" s="10">
        <f>IF(C11&lt;0.3,"",IF(C11&lt;=0.6,"¡¡Oh, que pequeñito!!, cuidale mucho.",IF(C11&lt;=4.5,"",IF(C11&lt;6.8,"¿Seguro?, ¿ese peso no es demasiado?",IF(C11&lt;9,"¡¡ Cuidado!!: Con este peso los cálculos pueden resultar incorrectos.",IF(C11&lt;10000,"¡¡Introducir peso en formato correcto!!",""))))))</f>
      </c>
      <c r="F13" s="1"/>
      <c r="G13" s="575"/>
      <c r="H13" s="575"/>
      <c r="I13" s="575"/>
      <c r="J13" s="2"/>
    </row>
    <row r="14" spans="1:10" ht="15.75" customHeight="1">
      <c r="A14" s="1"/>
      <c r="B14" s="745" t="s">
        <v>362</v>
      </c>
      <c r="C14" s="1"/>
      <c r="D14" s="1"/>
      <c r="E14" s="10"/>
      <c r="F14" s="1"/>
      <c r="G14" s="575"/>
      <c r="H14" s="575"/>
      <c r="I14" s="575"/>
      <c r="J14" s="2"/>
    </row>
    <row r="15" spans="1:10" ht="12.75" customHeight="1">
      <c r="A15" s="1"/>
      <c r="B15" s="744" t="s">
        <v>363</v>
      </c>
      <c r="C15" s="1"/>
      <c r="D15" s="1"/>
      <c r="E15" s="1"/>
      <c r="F15" s="1"/>
      <c r="G15" s="1"/>
      <c r="H15" s="575"/>
      <c r="I15" s="575"/>
      <c r="J15" s="2"/>
    </row>
    <row r="16" spans="1:10" ht="5.25" customHeight="1">
      <c r="A16" s="1"/>
      <c r="B16" s="1"/>
      <c r="C16" s="1"/>
      <c r="D16" s="1"/>
      <c r="E16" s="1"/>
      <c r="F16" s="1"/>
      <c r="G16" s="1"/>
      <c r="H16" s="605">
        <f>IF(C11&lt;0.3,"¿?",IF(C11&lt;9,C11,IF(C11&lt;10000,"")))</f>
        <v>0.74</v>
      </c>
      <c r="I16" s="605" t="s">
        <v>277</v>
      </c>
      <c r="J16" s="2"/>
    </row>
    <row r="17" spans="1:10" ht="15.75">
      <c r="A17" s="1"/>
      <c r="B17" s="1"/>
      <c r="C17" s="1"/>
      <c r="D17" s="1"/>
      <c r="E17" s="40"/>
      <c r="F17" s="1"/>
      <c r="G17" s="1"/>
      <c r="H17" s="1"/>
      <c r="I17" s="1"/>
      <c r="J17" s="2"/>
    </row>
    <row r="18" spans="1:10" ht="12.75">
      <c r="A18" s="1"/>
      <c r="B18" s="1"/>
      <c r="C18" s="1"/>
      <c r="D18" s="1"/>
      <c r="E18" s="1"/>
      <c r="F18" s="1"/>
      <c r="G18" s="1"/>
      <c r="H18" s="8"/>
      <c r="I18" s="1"/>
      <c r="J18" s="2"/>
    </row>
    <row r="19" spans="1:10" ht="12.75">
      <c r="A19" s="1"/>
      <c r="B19" s="1"/>
      <c r="C19" s="1"/>
      <c r="D19" s="1"/>
      <c r="E19" s="1"/>
      <c r="F19" s="1"/>
      <c r="G19" s="1"/>
      <c r="H19" s="1"/>
      <c r="I19" s="1"/>
      <c r="J19" s="2"/>
    </row>
    <row r="20" spans="1:10" ht="12.75">
      <c r="A20" s="1"/>
      <c r="B20" s="1"/>
      <c r="C20" s="1"/>
      <c r="D20" s="1"/>
      <c r="E20" s="1"/>
      <c r="F20" s="1"/>
      <c r="G20" s="1"/>
      <c r="H20" s="1"/>
      <c r="I20" s="1"/>
      <c r="J20" s="2"/>
    </row>
    <row r="21" spans="1:10" ht="12.75">
      <c r="A21" s="1"/>
      <c r="B21" s="1"/>
      <c r="C21" s="1"/>
      <c r="D21" s="1"/>
      <c r="E21" s="1"/>
      <c r="F21" s="1"/>
      <c r="G21" s="1"/>
      <c r="H21" s="1"/>
      <c r="I21" s="1"/>
      <c r="J21" s="2"/>
    </row>
    <row r="22" spans="1:10" ht="12.75">
      <c r="A22" s="1"/>
      <c r="B22" s="1"/>
      <c r="C22" s="1"/>
      <c r="D22" s="1"/>
      <c r="E22" s="1"/>
      <c r="F22" s="1"/>
      <c r="G22" s="1"/>
      <c r="H22" s="1"/>
      <c r="I22" s="1"/>
      <c r="J22" s="2"/>
    </row>
    <row r="23" spans="1:10" ht="12.75">
      <c r="A23" s="1"/>
      <c r="B23" s="1"/>
      <c r="C23" s="1"/>
      <c r="D23" s="1"/>
      <c r="E23" s="1"/>
      <c r="F23" s="1"/>
      <c r="G23" s="1"/>
      <c r="H23" s="1"/>
      <c r="I23" s="1"/>
      <c r="J23" s="2"/>
    </row>
    <row r="24" spans="1:10" ht="12.75">
      <c r="A24" s="1"/>
      <c r="B24" s="1"/>
      <c r="C24" s="1"/>
      <c r="D24" s="1"/>
      <c r="E24" s="1"/>
      <c r="F24" s="1"/>
      <c r="G24" s="1"/>
      <c r="H24" s="1"/>
      <c r="I24" s="1"/>
      <c r="J24" s="2"/>
    </row>
    <row r="25" spans="1:10" ht="12.75">
      <c r="A25" s="1"/>
      <c r="B25" s="1"/>
      <c r="C25" s="1"/>
      <c r="D25" s="1"/>
      <c r="E25" s="1"/>
      <c r="F25" s="1"/>
      <c r="G25" s="1"/>
      <c r="H25" s="1"/>
      <c r="I25" s="1"/>
      <c r="J25" s="2"/>
    </row>
    <row r="26" spans="1:10" ht="12.75">
      <c r="A26" s="1"/>
      <c r="B26" s="1"/>
      <c r="C26" s="1"/>
      <c r="D26" s="1"/>
      <c r="E26" s="1"/>
      <c r="F26" s="1"/>
      <c r="G26" s="1"/>
      <c r="H26" s="1"/>
      <c r="I26" s="1"/>
      <c r="J26" s="2"/>
    </row>
    <row r="27" spans="1:10" ht="12.75">
      <c r="A27" s="1"/>
      <c r="B27" s="1"/>
      <c r="C27" s="1"/>
      <c r="D27" s="1"/>
      <c r="E27" s="1"/>
      <c r="F27" s="1"/>
      <c r="G27" s="1"/>
      <c r="H27" s="1"/>
      <c r="I27" s="1"/>
      <c r="J27" s="2"/>
    </row>
    <row r="28" spans="1:10" ht="12.75">
      <c r="A28" s="1"/>
      <c r="B28" s="1"/>
      <c r="C28" s="1"/>
      <c r="D28" s="1"/>
      <c r="E28" s="1"/>
      <c r="F28" s="1"/>
      <c r="G28" s="1"/>
      <c r="H28" s="1"/>
      <c r="I28" s="1"/>
      <c r="J28" s="2"/>
    </row>
    <row r="29" spans="1:10" ht="12.75">
      <c r="A29" s="1"/>
      <c r="B29" s="1"/>
      <c r="C29" s="1"/>
      <c r="D29" s="1"/>
      <c r="E29" s="1"/>
      <c r="F29" s="1"/>
      <c r="G29" s="1"/>
      <c r="H29" s="1"/>
      <c r="I29" s="1"/>
      <c r="J29" s="2"/>
    </row>
    <row r="30" spans="1:10" ht="12.75">
      <c r="A30" s="1"/>
      <c r="B30" s="1"/>
      <c r="C30" s="1"/>
      <c r="D30" s="1"/>
      <c r="E30" s="1"/>
      <c r="F30" s="1"/>
      <c r="G30" s="1"/>
      <c r="H30" s="1"/>
      <c r="I30" s="1"/>
      <c r="J30" s="2"/>
    </row>
    <row r="31" spans="1:10" ht="12.75">
      <c r="A31" s="1"/>
      <c r="B31" s="1"/>
      <c r="C31" s="1"/>
      <c r="D31" s="1"/>
      <c r="E31" s="1"/>
      <c r="F31" s="1"/>
      <c r="G31" s="1"/>
      <c r="H31" s="1"/>
      <c r="I31" s="1"/>
      <c r="J31" s="2"/>
    </row>
    <row r="32" spans="1:10" ht="12.75">
      <c r="A32" s="1"/>
      <c r="B32" s="1"/>
      <c r="C32" s="1"/>
      <c r="D32" s="1"/>
      <c r="E32" s="1"/>
      <c r="F32" s="1"/>
      <c r="G32" s="1"/>
      <c r="H32" s="1"/>
      <c r="I32" s="1"/>
      <c r="J32" s="2"/>
    </row>
    <row r="33" spans="1:10" ht="12.75">
      <c r="A33" s="1"/>
      <c r="B33" s="1"/>
      <c r="C33" s="1"/>
      <c r="D33" s="1"/>
      <c r="E33" s="1"/>
      <c r="F33" s="1"/>
      <c r="G33" s="1"/>
      <c r="H33" s="1"/>
      <c r="I33" s="1"/>
      <c r="J33" s="2"/>
    </row>
    <row r="34" spans="1:10" ht="12.75">
      <c r="A34" s="1"/>
      <c r="B34" s="1"/>
      <c r="C34" s="1"/>
      <c r="D34" s="1"/>
      <c r="E34" s="1"/>
      <c r="F34" s="1"/>
      <c r="G34" s="1"/>
      <c r="H34" s="1"/>
      <c r="I34" s="1"/>
      <c r="J34" s="2"/>
    </row>
    <row r="35" spans="1:10" ht="12.75">
      <c r="A35" s="1"/>
      <c r="B35" s="1"/>
      <c r="C35" s="1"/>
      <c r="D35" s="1"/>
      <c r="E35" s="1"/>
      <c r="F35" s="1"/>
      <c r="G35" s="1"/>
      <c r="H35" s="1"/>
      <c r="I35" s="1"/>
      <c r="J35" s="2"/>
    </row>
    <row r="36" spans="1:10" ht="12.75">
      <c r="A36" s="1"/>
      <c r="B36" s="1"/>
      <c r="C36" s="1"/>
      <c r="D36" s="1"/>
      <c r="E36" s="1"/>
      <c r="F36" s="1"/>
      <c r="G36" s="1"/>
      <c r="H36" s="1"/>
      <c r="I36" s="1"/>
      <c r="J36" s="2"/>
    </row>
    <row r="37" spans="1:10" ht="12.75">
      <c r="A37" s="1"/>
      <c r="B37" s="1"/>
      <c r="C37" s="1"/>
      <c r="D37" s="1"/>
      <c r="E37" s="1"/>
      <c r="F37" s="1"/>
      <c r="G37" s="1"/>
      <c r="H37" s="1"/>
      <c r="I37" s="1"/>
      <c r="J37" s="2"/>
    </row>
    <row r="38" spans="1:10" ht="12.75">
      <c r="A38" s="1"/>
      <c r="B38" s="1"/>
      <c r="C38" s="1"/>
      <c r="D38" s="1"/>
      <c r="E38" s="1"/>
      <c r="F38" s="1"/>
      <c r="G38" s="1"/>
      <c r="H38" s="1"/>
      <c r="I38" s="1"/>
      <c r="J38" s="2"/>
    </row>
    <row r="39" spans="1:10" ht="12.75">
      <c r="A39" s="1"/>
      <c r="B39" s="1"/>
      <c r="C39" s="1"/>
      <c r="D39" s="1"/>
      <c r="E39" s="1"/>
      <c r="F39" s="1"/>
      <c r="G39" s="1"/>
      <c r="H39" s="1"/>
      <c r="I39" s="1"/>
      <c r="J39" s="2"/>
    </row>
    <row r="40" spans="1:10" ht="12.75">
      <c r="A40" s="1"/>
      <c r="B40" s="1"/>
      <c r="C40" s="1"/>
      <c r="D40" s="1"/>
      <c r="E40" s="1"/>
      <c r="F40" s="1"/>
      <c r="G40" s="1"/>
      <c r="H40" s="1"/>
      <c r="I40" s="1"/>
      <c r="J40" s="2"/>
    </row>
    <row r="41" spans="1:10" ht="12.75">
      <c r="A41" s="1"/>
      <c r="B41" s="1"/>
      <c r="C41" s="1"/>
      <c r="D41" s="1"/>
      <c r="E41" s="1"/>
      <c r="F41" s="1"/>
      <c r="G41" s="1"/>
      <c r="H41" s="1"/>
      <c r="I41" s="1"/>
      <c r="J41" s="2"/>
    </row>
    <row r="42" spans="1:10" ht="12.75">
      <c r="A42" s="1"/>
      <c r="B42" s="1"/>
      <c r="C42" s="1"/>
      <c r="D42" s="1"/>
      <c r="E42" s="1"/>
      <c r="F42" s="1"/>
      <c r="G42" s="1"/>
      <c r="H42" s="1"/>
      <c r="I42" s="1"/>
      <c r="J42" s="2"/>
    </row>
    <row r="43" spans="1:10" ht="12.75">
      <c r="A43" s="1"/>
      <c r="B43" s="1"/>
      <c r="C43" s="1"/>
      <c r="D43" s="1"/>
      <c r="E43" s="1"/>
      <c r="F43" s="1"/>
      <c r="G43" s="1"/>
      <c r="H43" s="1"/>
      <c r="I43" s="1"/>
      <c r="J43" s="2"/>
    </row>
    <row r="44" spans="1:10" ht="12.75">
      <c r="A44" s="1"/>
      <c r="B44" s="1"/>
      <c r="C44" s="1"/>
      <c r="D44" s="1"/>
      <c r="E44" s="1"/>
      <c r="F44" s="1"/>
      <c r="G44" s="1"/>
      <c r="H44" s="1"/>
      <c r="I44" s="1"/>
      <c r="J44" s="2"/>
    </row>
    <row r="45" spans="1:10" ht="12.75">
      <c r="A45" s="1"/>
      <c r="B45" s="1"/>
      <c r="C45" s="1"/>
      <c r="D45" s="1"/>
      <c r="E45" s="1"/>
      <c r="F45" s="1"/>
      <c r="G45" s="1"/>
      <c r="H45" s="1"/>
      <c r="I45" s="1"/>
      <c r="J45" s="2"/>
    </row>
    <row r="46" spans="1:10" ht="12.75">
      <c r="A46" s="1"/>
      <c r="B46" s="1"/>
      <c r="C46" s="1"/>
      <c r="D46" s="1"/>
      <c r="E46" s="1"/>
      <c r="F46" s="1"/>
      <c r="G46" s="1"/>
      <c r="H46" s="1"/>
      <c r="I46" s="1"/>
      <c r="J46" s="2"/>
    </row>
    <row r="47" spans="1:10" ht="12.75">
      <c r="A47" s="1"/>
      <c r="B47" s="1"/>
      <c r="C47" s="1"/>
      <c r="D47" s="1"/>
      <c r="E47" s="1"/>
      <c r="F47" s="1"/>
      <c r="G47" s="1"/>
      <c r="H47" s="1"/>
      <c r="I47" s="1"/>
      <c r="J47" s="2"/>
    </row>
    <row r="48" spans="1:10" ht="12.75">
      <c r="A48" s="1"/>
      <c r="B48" s="1"/>
      <c r="C48" s="1"/>
      <c r="D48" s="1"/>
      <c r="E48" s="1"/>
      <c r="F48" s="1"/>
      <c r="G48" s="1"/>
      <c r="H48" s="1"/>
      <c r="I48" s="1"/>
      <c r="J48" s="2"/>
    </row>
    <row r="49" spans="1:10" ht="12.75">
      <c r="A49" s="1"/>
      <c r="B49" s="1"/>
      <c r="C49" s="1"/>
      <c r="D49" s="1"/>
      <c r="E49" s="1"/>
      <c r="F49" s="1"/>
      <c r="G49" s="1"/>
      <c r="H49" s="1"/>
      <c r="I49" s="1"/>
      <c r="J49" s="2"/>
    </row>
    <row r="50" spans="1:10" ht="12.75">
      <c r="A50" s="1"/>
      <c r="B50" s="1"/>
      <c r="C50" s="1"/>
      <c r="D50" s="1"/>
      <c r="E50" s="1"/>
      <c r="F50" s="1"/>
      <c r="G50" s="1"/>
      <c r="H50" s="1"/>
      <c r="I50" s="1"/>
      <c r="J50" s="2"/>
    </row>
    <row r="51" spans="1:10" ht="12.75">
      <c r="A51" s="1"/>
      <c r="B51" s="1"/>
      <c r="C51" s="1"/>
      <c r="D51" s="1"/>
      <c r="E51" s="1"/>
      <c r="F51" s="1"/>
      <c r="G51" s="1"/>
      <c r="H51" s="1"/>
      <c r="I51" s="1"/>
      <c r="J51" s="2"/>
    </row>
    <row r="52" spans="1:10" ht="12.75">
      <c r="A52" s="1"/>
      <c r="B52" s="1"/>
      <c r="C52" s="1"/>
      <c r="D52" s="1"/>
      <c r="E52" s="1"/>
      <c r="F52" s="1"/>
      <c r="G52" s="1"/>
      <c r="H52" s="1"/>
      <c r="I52" s="1"/>
      <c r="J52" s="2"/>
    </row>
    <row r="53" spans="1:10" ht="12.75">
      <c r="A53" s="1"/>
      <c r="B53" s="1"/>
      <c r="C53" s="1"/>
      <c r="D53" s="1"/>
      <c r="E53" s="1"/>
      <c r="F53" s="1"/>
      <c r="G53" s="1"/>
      <c r="H53" s="1"/>
      <c r="I53" s="1"/>
      <c r="J53" s="2"/>
    </row>
    <row r="54" spans="1:10" ht="12.75">
      <c r="A54" s="1"/>
      <c r="B54" s="1"/>
      <c r="C54" s="1"/>
      <c r="D54" s="1"/>
      <c r="E54" s="1"/>
      <c r="F54" s="1"/>
      <c r="G54" s="1"/>
      <c r="H54" s="1"/>
      <c r="I54" s="1"/>
      <c r="J54" s="2"/>
    </row>
    <row r="55" spans="1:10" ht="12.75">
      <c r="A55" s="1"/>
      <c r="B55" s="1"/>
      <c r="C55" s="1"/>
      <c r="D55" s="1"/>
      <c r="E55" s="1"/>
      <c r="F55" s="1"/>
      <c r="G55" s="1"/>
      <c r="H55" s="1"/>
      <c r="I55" s="1"/>
      <c r="J55" s="2"/>
    </row>
    <row r="56" spans="1:10" ht="12.75">
      <c r="A56" s="1"/>
      <c r="B56" s="1"/>
      <c r="C56" s="1"/>
      <c r="D56" s="1"/>
      <c r="E56" s="1"/>
      <c r="F56" s="1"/>
      <c r="G56" s="1"/>
      <c r="H56" s="1"/>
      <c r="I56" s="1"/>
      <c r="J56" s="2"/>
    </row>
    <row r="57" spans="1:10" ht="12.75">
      <c r="A57" s="1"/>
      <c r="B57" s="1"/>
      <c r="C57" s="1"/>
      <c r="D57" s="1"/>
      <c r="E57" s="1"/>
      <c r="F57" s="1"/>
      <c r="G57" s="1"/>
      <c r="H57" s="1"/>
      <c r="I57" s="1"/>
      <c r="J57" s="2"/>
    </row>
  </sheetData>
  <sheetProtection password="CC1A" sheet="1" objects="1" scenarios="1"/>
  <mergeCells count="2">
    <mergeCell ref="C7:I7"/>
    <mergeCell ref="H2:I2"/>
  </mergeCells>
  <printOptions/>
  <pageMargins left="0.7480314960629921" right="0.75" top="0.5118110236220472" bottom="1" header="0" footer="0"/>
  <pageSetup fitToHeight="1" fitToWidth="1"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46"/>
  <sheetViews>
    <sheetView showGridLines="0" zoomScale="75" zoomScaleNormal="75" workbookViewId="0" topLeftCell="A2">
      <selection activeCell="C2" sqref="C2:D2"/>
    </sheetView>
  </sheetViews>
  <sheetFormatPr defaultColWidth="11.00390625" defaultRowHeight="12"/>
  <cols>
    <col min="1" max="1" width="1.00390625" style="350" customWidth="1"/>
    <col min="2" max="2" width="26.75390625" style="13" customWidth="1"/>
    <col min="3" max="3" width="4.75390625" style="13" customWidth="1"/>
    <col min="4" max="4" width="7.75390625" style="13" customWidth="1"/>
    <col min="5" max="5" width="11.25390625" style="13" customWidth="1"/>
    <col min="6" max="6" width="7.125" style="13" customWidth="1"/>
    <col min="7" max="7" width="13.75390625" style="13" customWidth="1"/>
    <col min="8" max="8" width="2.00390625" style="14" customWidth="1"/>
    <col min="9" max="9" width="10.75390625" style="14" customWidth="1"/>
    <col min="10" max="10" width="4.25390625" style="14" customWidth="1"/>
    <col min="11" max="11" width="5.125" style="14" customWidth="1"/>
    <col min="12" max="12" width="5.375" style="14" customWidth="1"/>
    <col min="13" max="13" width="7.00390625" style="13" customWidth="1"/>
    <col min="14" max="14" width="5.875" style="13" customWidth="1"/>
    <col min="15" max="15" width="5.00390625" style="12" customWidth="1"/>
    <col min="16" max="16" width="5.25390625" style="13" customWidth="1"/>
    <col min="17" max="17" width="5.875" style="13" customWidth="1"/>
    <col min="18" max="18" width="9.375" style="13" customWidth="1"/>
    <col min="19" max="19" width="0.875" style="13" customWidth="1"/>
    <col min="20" max="16384" width="8.875" style="13" customWidth="1"/>
  </cols>
  <sheetData>
    <row r="1" spans="1:19" s="11" customFormat="1" ht="24" customHeight="1">
      <c r="A1" s="233"/>
      <c r="B1" s="232" t="s">
        <v>293</v>
      </c>
      <c r="C1" s="232"/>
      <c r="D1" s="233"/>
      <c r="E1" s="234"/>
      <c r="F1" s="233"/>
      <c r="G1" s="235"/>
      <c r="H1" s="236"/>
      <c r="I1" s="236"/>
      <c r="J1" s="236"/>
      <c r="K1" s="236"/>
      <c r="L1" s="236"/>
      <c r="M1" s="234"/>
      <c r="N1" s="237"/>
      <c r="O1" s="238"/>
      <c r="P1" s="239"/>
      <c r="Q1" s="244"/>
      <c r="R1" s="597"/>
      <c r="S1" s="233"/>
    </row>
    <row r="2" spans="1:19" ht="15.75" customHeight="1">
      <c r="A2" s="244"/>
      <c r="B2" s="246" t="str">
        <f>IF(C2=0,"Introducir peso en kg &gt;&gt;","Peso:")</f>
        <v>Peso:</v>
      </c>
      <c r="C2" s="751">
        <f>Paciente!H16</f>
        <v>0.74</v>
      </c>
      <c r="D2" s="751"/>
      <c r="E2" s="248" t="str">
        <f>IF(C2&gt;=9,"¡¡ debe darse en Kg:!!","kg")</f>
        <v>kg</v>
      </c>
      <c r="F2" s="247"/>
      <c r="G2" s="249"/>
      <c r="H2" s="249"/>
      <c r="I2" s="249"/>
      <c r="J2" s="249"/>
      <c r="K2" s="249"/>
      <c r="L2" s="249"/>
      <c r="M2" s="249"/>
      <c r="N2" s="249"/>
      <c r="O2" s="243"/>
      <c r="P2" s="244"/>
      <c r="Q2" s="582" t="str">
        <f>IF(R3="","Si no lo ha hecho, por favor, lea las advertencias adjuntas.","")</f>
        <v>Si no lo ha hecho, por favor, lea las advertencias adjuntas.</v>
      </c>
      <c r="R2" s="234"/>
      <c r="S2" s="244"/>
    </row>
    <row r="3" spans="1:19" ht="3.75" customHeight="1">
      <c r="A3" s="244"/>
      <c r="B3" s="245"/>
      <c r="C3" s="245"/>
      <c r="D3" s="247"/>
      <c r="E3" s="247"/>
      <c r="F3" s="247"/>
      <c r="G3" s="244"/>
      <c r="H3" s="244"/>
      <c r="I3" s="244"/>
      <c r="J3" s="244"/>
      <c r="K3" s="244"/>
      <c r="L3" s="244"/>
      <c r="M3" s="244"/>
      <c r="N3" s="244"/>
      <c r="O3" s="252"/>
      <c r="P3" s="234"/>
      <c r="Q3" s="253"/>
      <c r="R3" s="234"/>
      <c r="S3" s="244"/>
    </row>
    <row r="4" spans="1:19" ht="12.75" customHeight="1">
      <c r="A4" s="244"/>
      <c r="B4" s="240"/>
      <c r="C4" s="254">
        <f>IF(C2="","Ir a pág.'paciente' e introducir peso",IF(C2&lt;0.3,"",IF(C2&lt;=0.5," ¿Es seguro ese peso?.",IF(C2&lt;=4.5,"",IF(C2&lt;6.5,"¿Seguro?, ¿ese peso no es demasiado?",IF(C2&lt;10000,"CON ESTE PESO  LOS CÁLCULOS PUEDEN SER INCORRECTOS"))))))</f>
      </c>
      <c r="D4" s="244"/>
      <c r="E4" s="244"/>
      <c r="F4" s="244"/>
      <c r="G4" s="578"/>
      <c r="H4" s="579" t="s">
        <v>179</v>
      </c>
      <c r="I4" s="598">
        <f ca="1">TODAY()</f>
        <v>37466</v>
      </c>
      <c r="J4" s="598"/>
      <c r="K4" s="598"/>
      <c r="L4" s="241"/>
      <c r="M4" s="244"/>
      <c r="N4" s="244"/>
      <c r="O4" s="243"/>
      <c r="P4" s="244"/>
      <c r="Q4" s="244"/>
      <c r="R4" s="244"/>
      <c r="S4" s="244"/>
    </row>
    <row r="5" spans="1:19" ht="3.75" customHeight="1">
      <c r="A5" s="244"/>
      <c r="B5" s="244"/>
      <c r="C5" s="244"/>
      <c r="D5" s="255"/>
      <c r="E5" s="244"/>
      <c r="F5" s="244"/>
      <c r="G5" s="244"/>
      <c r="H5" s="241"/>
      <c r="I5" s="241"/>
      <c r="J5" s="241"/>
      <c r="K5" s="246"/>
      <c r="L5" s="247"/>
      <c r="M5" s="244"/>
      <c r="N5" s="251"/>
      <c r="O5" s="243"/>
      <c r="P5" s="244"/>
      <c r="Q5" s="244"/>
      <c r="R5" s="244"/>
      <c r="S5" s="244"/>
    </row>
    <row r="6" spans="1:19" ht="12.75" customHeight="1">
      <c r="A6" s="244"/>
      <c r="B6" s="256" t="str">
        <f>IF(Paciente!C7="","",Paciente!C7)</f>
        <v>Gonzalez Perez, RN</v>
      </c>
      <c r="C6" s="244"/>
      <c r="D6" s="257"/>
      <c r="E6" s="258"/>
      <c r="F6" s="258"/>
      <c r="G6" s="258"/>
      <c r="H6" s="250" t="str">
        <f>IF(J6="","Introducir  F. Nac. En la hoja 'Paciente'","Fecha nacimiento:")</f>
        <v>Fecha nacimiento:</v>
      </c>
      <c r="I6" s="651">
        <f>IF(Paciente!C9="","",Paciente!C9)</f>
        <v>36784</v>
      </c>
      <c r="J6" s="695">
        <f>IF(I6="","",DAYS360(I6,I4))</f>
        <v>674</v>
      </c>
      <c r="K6" s="686" t="str">
        <f>IF(J6="","",IF(J6&lt;0,"Cuidado: error en la fecha",IF(J6&lt;230,"días de vida",IF(J6&gt;230,"¡¡días!!. Demasiado para NN !!",""))))</f>
        <v>¡¡días!!. Demasiado para NN !!</v>
      </c>
      <c r="L6" s="244"/>
      <c r="M6" s="577"/>
      <c r="N6" s="244"/>
      <c r="O6" s="259"/>
      <c r="P6" s="259"/>
      <c r="Q6" s="259"/>
      <c r="R6" s="260"/>
      <c r="S6" s="244"/>
    </row>
    <row r="7" spans="1:19" ht="4.5" customHeight="1">
      <c r="A7" s="244"/>
      <c r="B7" s="244"/>
      <c r="C7" s="244"/>
      <c r="D7" s="255"/>
      <c r="E7" s="244"/>
      <c r="F7" s="244"/>
      <c r="G7" s="244"/>
      <c r="H7" s="244"/>
      <c r="I7" s="244"/>
      <c r="J7" s="244"/>
      <c r="K7" s="244"/>
      <c r="L7" s="244"/>
      <c r="M7" s="259"/>
      <c r="N7" s="259"/>
      <c r="O7" s="259"/>
      <c r="P7" s="259"/>
      <c r="Q7" s="259"/>
      <c r="R7" s="244"/>
      <c r="S7" s="244"/>
    </row>
    <row r="8" spans="1:19" s="15" customFormat="1" ht="12.75">
      <c r="A8" s="296"/>
      <c r="B8" s="306" t="s">
        <v>253</v>
      </c>
      <c r="C8" s="307"/>
      <c r="D8" s="654" t="s">
        <v>87</v>
      </c>
      <c r="E8" s="653" t="s">
        <v>86</v>
      </c>
      <c r="F8" s="307"/>
      <c r="G8" s="307"/>
      <c r="H8" s="653" t="s">
        <v>119</v>
      </c>
      <c r="I8" s="653"/>
      <c r="J8" s="653"/>
      <c r="K8" s="303"/>
      <c r="L8" s="303"/>
      <c r="M8" s="310"/>
      <c r="N8" s="311" t="s">
        <v>120</v>
      </c>
      <c r="O8" s="312"/>
      <c r="P8" s="313" t="s">
        <v>142</v>
      </c>
      <c r="Q8" s="308"/>
      <c r="R8" s="656" t="s">
        <v>88</v>
      </c>
      <c r="S8" s="296"/>
    </row>
    <row r="9" spans="1:19" ht="13.5" customHeight="1">
      <c r="A9" s="244"/>
      <c r="B9" s="314" t="s">
        <v>25</v>
      </c>
      <c r="C9" s="315"/>
      <c r="D9" s="316" t="s">
        <v>202</v>
      </c>
      <c r="E9" s="177" t="s">
        <v>248</v>
      </c>
      <c r="F9" s="316"/>
      <c r="G9" s="316"/>
      <c r="H9" s="179" t="s">
        <v>68</v>
      </c>
      <c r="I9" s="179"/>
      <c r="J9" s="179"/>
      <c r="K9" s="179"/>
      <c r="L9" s="179"/>
      <c r="M9" s="178"/>
      <c r="N9" s="208">
        <f>0.1*C2</f>
        <v>0.074</v>
      </c>
      <c r="O9" s="317" t="s">
        <v>198</v>
      </c>
      <c r="P9" s="606">
        <f>0.01*C2</f>
        <v>0.0074</v>
      </c>
      <c r="Q9" s="209" t="s">
        <v>199</v>
      </c>
      <c r="R9" s="318" t="s">
        <v>224</v>
      </c>
      <c r="S9" s="244"/>
    </row>
    <row r="10" spans="1:19" ht="13.5" customHeight="1">
      <c r="A10" s="244"/>
      <c r="B10" s="319" t="s">
        <v>25</v>
      </c>
      <c r="C10" s="320"/>
      <c r="D10" s="321" t="s">
        <v>225</v>
      </c>
      <c r="E10" s="226" t="s">
        <v>19</v>
      </c>
      <c r="F10" s="321"/>
      <c r="G10" s="321"/>
      <c r="H10" s="226" t="s">
        <v>18</v>
      </c>
      <c r="I10" s="226"/>
      <c r="J10" s="226"/>
      <c r="K10" s="226"/>
      <c r="L10" s="226"/>
      <c r="M10" s="322"/>
      <c r="N10" s="323">
        <f>0.3*C2</f>
        <v>0.222</v>
      </c>
      <c r="O10" s="324" t="s">
        <v>198</v>
      </c>
      <c r="P10" s="325">
        <f>0.03*C2</f>
        <v>0.022199999999999998</v>
      </c>
      <c r="Q10" s="197" t="s">
        <v>199</v>
      </c>
      <c r="R10" s="326" t="s">
        <v>258</v>
      </c>
      <c r="S10" s="244"/>
    </row>
    <row r="11" spans="1:19" s="12" customFormat="1" ht="13.5" customHeight="1">
      <c r="A11" s="243"/>
      <c r="B11" s="327" t="s">
        <v>26</v>
      </c>
      <c r="C11" s="328"/>
      <c r="D11" s="226" t="s">
        <v>202</v>
      </c>
      <c r="E11" s="226" t="s">
        <v>101</v>
      </c>
      <c r="F11" s="226"/>
      <c r="G11" s="226"/>
      <c r="H11" s="228" t="s">
        <v>294</v>
      </c>
      <c r="I11" s="228"/>
      <c r="J11" s="228"/>
      <c r="K11" s="228"/>
      <c r="L11" s="228"/>
      <c r="M11" s="228"/>
      <c r="N11" s="329">
        <f>2*C2</f>
        <v>1.48</v>
      </c>
      <c r="O11" s="324" t="s">
        <v>198</v>
      </c>
      <c r="P11" s="330">
        <f>1*C2</f>
        <v>0.74</v>
      </c>
      <c r="Q11" s="197" t="s">
        <v>226</v>
      </c>
      <c r="R11" s="331" t="s">
        <v>227</v>
      </c>
      <c r="S11" s="243"/>
    </row>
    <row r="12" spans="1:19" s="12" customFormat="1" ht="13.5" customHeight="1">
      <c r="A12" s="243"/>
      <c r="B12" s="327" t="s">
        <v>228</v>
      </c>
      <c r="C12" s="328"/>
      <c r="D12" s="228" t="s">
        <v>251</v>
      </c>
      <c r="E12" s="226" t="s">
        <v>180</v>
      </c>
      <c r="F12" s="226"/>
      <c r="G12" s="226"/>
      <c r="H12" s="226" t="s">
        <v>295</v>
      </c>
      <c r="I12" s="226"/>
      <c r="J12" s="226"/>
      <c r="K12" s="228"/>
      <c r="L12" s="228"/>
      <c r="M12" s="228"/>
      <c r="N12" s="323">
        <f>0.25*C2</f>
        <v>0.185</v>
      </c>
      <c r="O12" s="324" t="s">
        <v>198</v>
      </c>
      <c r="P12" s="325">
        <f>0.1*C2</f>
        <v>0.074</v>
      </c>
      <c r="Q12" s="197" t="s">
        <v>199</v>
      </c>
      <c r="R12" s="331" t="s">
        <v>173</v>
      </c>
      <c r="S12" s="243"/>
    </row>
    <row r="13" spans="1:19" s="12" customFormat="1" ht="3.75" customHeight="1">
      <c r="A13" s="243"/>
      <c r="B13" s="269"/>
      <c r="C13" s="270"/>
      <c r="D13" s="271"/>
      <c r="E13" s="263"/>
      <c r="F13" s="263"/>
      <c r="G13" s="263"/>
      <c r="H13" s="263"/>
      <c r="I13" s="263"/>
      <c r="J13" s="263"/>
      <c r="K13" s="271"/>
      <c r="L13" s="271"/>
      <c r="M13" s="271"/>
      <c r="N13" s="265"/>
      <c r="O13" s="266"/>
      <c r="P13" s="267"/>
      <c r="Q13" s="268"/>
      <c r="R13" s="272"/>
      <c r="S13" s="243"/>
    </row>
    <row r="14" spans="1:19" ht="13.5" customHeight="1">
      <c r="A14" s="244"/>
      <c r="B14" s="319" t="s">
        <v>175</v>
      </c>
      <c r="C14" s="320"/>
      <c r="D14" s="321" t="s">
        <v>202</v>
      </c>
      <c r="E14" s="226" t="s">
        <v>15</v>
      </c>
      <c r="F14" s="321"/>
      <c r="G14" s="321"/>
      <c r="H14" s="226" t="s">
        <v>296</v>
      </c>
      <c r="I14" s="226"/>
      <c r="J14" s="226"/>
      <c r="K14" s="226"/>
      <c r="L14" s="226"/>
      <c r="M14" s="322"/>
      <c r="N14" s="329">
        <f>1*C2</f>
        <v>0.74</v>
      </c>
      <c r="O14" s="324" t="s">
        <v>198</v>
      </c>
      <c r="P14" s="227">
        <f>100*C2</f>
        <v>74</v>
      </c>
      <c r="Q14" s="197" t="s">
        <v>199</v>
      </c>
      <c r="R14" s="326" t="s">
        <v>100</v>
      </c>
      <c r="S14" s="244"/>
    </row>
    <row r="15" spans="1:19" s="12" customFormat="1" ht="13.5" customHeight="1">
      <c r="A15" s="243"/>
      <c r="B15" s="319" t="s">
        <v>107</v>
      </c>
      <c r="C15" s="320"/>
      <c r="D15" s="321" t="s">
        <v>202</v>
      </c>
      <c r="E15" s="226" t="s">
        <v>249</v>
      </c>
      <c r="F15" s="321"/>
      <c r="G15" s="321"/>
      <c r="H15" s="226" t="s">
        <v>275</v>
      </c>
      <c r="I15" s="226"/>
      <c r="J15" s="226"/>
      <c r="K15" s="226"/>
      <c r="L15" s="226"/>
      <c r="M15" s="322"/>
      <c r="N15" s="332">
        <f>10*C2</f>
        <v>7.4</v>
      </c>
      <c r="O15" s="324" t="s">
        <v>198</v>
      </c>
      <c r="P15" s="325"/>
      <c r="Q15" s="197"/>
      <c r="R15" s="326" t="s">
        <v>250</v>
      </c>
      <c r="S15" s="243"/>
    </row>
    <row r="16" spans="1:19" ht="4.5" customHeight="1">
      <c r="A16" s="244"/>
      <c r="B16" s="273"/>
      <c r="C16" s="273"/>
      <c r="D16" s="233"/>
      <c r="E16" s="274"/>
      <c r="F16" s="233"/>
      <c r="G16" s="233"/>
      <c r="H16" s="274"/>
      <c r="I16" s="274"/>
      <c r="J16" s="274"/>
      <c r="K16" s="274"/>
      <c r="L16" s="274"/>
      <c r="M16" s="275"/>
      <c r="N16" s="276"/>
      <c r="O16" s="277"/>
      <c r="P16" s="278"/>
      <c r="Q16" s="279"/>
      <c r="R16" s="280"/>
      <c r="S16" s="244"/>
    </row>
    <row r="17" spans="1:19" ht="4.5" customHeight="1">
      <c r="A17" s="244"/>
      <c r="B17" s="281"/>
      <c r="C17" s="281"/>
      <c r="D17" s="282"/>
      <c r="E17" s="282"/>
      <c r="F17" s="244"/>
      <c r="G17" s="282"/>
      <c r="H17" s="283"/>
      <c r="I17" s="283"/>
      <c r="J17" s="283"/>
      <c r="K17" s="283"/>
      <c r="L17" s="283"/>
      <c r="M17" s="244"/>
      <c r="N17" s="242"/>
      <c r="O17" s="284"/>
      <c r="P17" s="244"/>
      <c r="Q17" s="285"/>
      <c r="R17" s="280"/>
      <c r="S17" s="244"/>
    </row>
    <row r="18" spans="1:19" s="15" customFormat="1" ht="12.75">
      <c r="A18" s="296"/>
      <c r="B18" s="306" t="s">
        <v>97</v>
      </c>
      <c r="C18" s="307"/>
      <c r="D18" s="654" t="s">
        <v>87</v>
      </c>
      <c r="E18" s="653" t="s">
        <v>86</v>
      </c>
      <c r="F18" s="309"/>
      <c r="G18" s="307"/>
      <c r="H18" s="653" t="s">
        <v>119</v>
      </c>
      <c r="I18" s="653"/>
      <c r="J18" s="653"/>
      <c r="K18" s="303"/>
      <c r="L18" s="303"/>
      <c r="M18" s="310"/>
      <c r="N18" s="311" t="s">
        <v>120</v>
      </c>
      <c r="O18" s="312"/>
      <c r="P18" s="313" t="s">
        <v>222</v>
      </c>
      <c r="Q18" s="308"/>
      <c r="R18" s="656" t="s">
        <v>88</v>
      </c>
      <c r="S18" s="296"/>
    </row>
    <row r="19" spans="1:19" s="12" customFormat="1" ht="13.5" customHeight="1">
      <c r="A19" s="243"/>
      <c r="B19" s="333" t="s">
        <v>121</v>
      </c>
      <c r="C19" s="334"/>
      <c r="D19" s="179" t="s">
        <v>122</v>
      </c>
      <c r="E19" s="177" t="s">
        <v>66</v>
      </c>
      <c r="F19" s="177"/>
      <c r="G19" s="177"/>
      <c r="H19" s="178" t="s">
        <v>304</v>
      </c>
      <c r="I19" s="178"/>
      <c r="J19" s="178"/>
      <c r="K19" s="177"/>
      <c r="L19" s="177"/>
      <c r="M19" s="179"/>
      <c r="N19" s="208">
        <f>0.2*C2</f>
        <v>0.148</v>
      </c>
      <c r="O19" s="317" t="s">
        <v>198</v>
      </c>
      <c r="P19" s="335">
        <f>0.1*C2</f>
        <v>0.074</v>
      </c>
      <c r="Q19" s="209" t="s">
        <v>199</v>
      </c>
      <c r="R19" s="336" t="s">
        <v>200</v>
      </c>
      <c r="S19" s="243"/>
    </row>
    <row r="20" spans="1:19" s="12" customFormat="1" ht="13.5" customHeight="1">
      <c r="A20" s="243"/>
      <c r="B20" s="337" t="s">
        <v>201</v>
      </c>
      <c r="C20" s="186"/>
      <c r="D20" s="175" t="s">
        <v>202</v>
      </c>
      <c r="E20" s="173" t="s">
        <v>166</v>
      </c>
      <c r="F20" s="173"/>
      <c r="G20" s="173"/>
      <c r="H20" s="174" t="s">
        <v>297</v>
      </c>
      <c r="I20" s="174"/>
      <c r="J20" s="174"/>
      <c r="K20" s="173"/>
      <c r="L20" s="173"/>
      <c r="M20" s="175"/>
      <c r="N20" s="338">
        <f>0.4*C2</f>
        <v>0.296</v>
      </c>
      <c r="O20" s="339" t="s">
        <v>198</v>
      </c>
      <c r="P20" s="340">
        <f>2*C2</f>
        <v>1.48</v>
      </c>
      <c r="Q20" s="206" t="s">
        <v>160</v>
      </c>
      <c r="R20" s="341" t="s">
        <v>161</v>
      </c>
      <c r="S20" s="243"/>
    </row>
    <row r="21" spans="1:19" s="12" customFormat="1" ht="13.5" customHeight="1">
      <c r="A21" s="243"/>
      <c r="B21" s="342" t="s">
        <v>31</v>
      </c>
      <c r="C21" s="343"/>
      <c r="D21" s="226" t="s">
        <v>162</v>
      </c>
      <c r="E21" s="226" t="s">
        <v>17</v>
      </c>
      <c r="F21" s="226"/>
      <c r="G21" s="226"/>
      <c r="H21" s="322" t="s">
        <v>298</v>
      </c>
      <c r="I21" s="322"/>
      <c r="J21" s="322"/>
      <c r="K21" s="226"/>
      <c r="L21" s="226"/>
      <c r="M21" s="228"/>
      <c r="N21" s="323">
        <f>0.2*C2</f>
        <v>0.148</v>
      </c>
      <c r="O21" s="324" t="s">
        <v>198</v>
      </c>
      <c r="P21" s="344">
        <f>0.1*C2</f>
        <v>0.074</v>
      </c>
      <c r="Q21" s="197" t="s">
        <v>199</v>
      </c>
      <c r="R21" s="331" t="s">
        <v>200</v>
      </c>
      <c r="S21" s="243"/>
    </row>
    <row r="22" spans="1:19" s="12" customFormat="1" ht="13.5" customHeight="1">
      <c r="A22" s="243"/>
      <c r="B22" s="333" t="s">
        <v>181</v>
      </c>
      <c r="C22" s="334"/>
      <c r="D22" s="179" t="s">
        <v>163</v>
      </c>
      <c r="E22" s="177" t="s">
        <v>223</v>
      </c>
      <c r="F22" s="177"/>
      <c r="G22" s="177"/>
      <c r="H22" s="178" t="s">
        <v>299</v>
      </c>
      <c r="I22" s="178"/>
      <c r="J22" s="178"/>
      <c r="K22" s="177"/>
      <c r="L22" s="177"/>
      <c r="M22" s="179"/>
      <c r="N22" s="208">
        <f>0.2*C2</f>
        <v>0.148</v>
      </c>
      <c r="O22" s="317" t="s">
        <v>198</v>
      </c>
      <c r="P22" s="335">
        <f>0.2*C2</f>
        <v>0.148</v>
      </c>
      <c r="Q22" s="209" t="s">
        <v>199</v>
      </c>
      <c r="R22" s="336" t="s">
        <v>164</v>
      </c>
      <c r="S22" s="243"/>
    </row>
    <row r="23" spans="1:19" s="12" customFormat="1" ht="13.5" customHeight="1">
      <c r="A23" s="243"/>
      <c r="B23" s="225" t="s">
        <v>27</v>
      </c>
      <c r="C23" s="345"/>
      <c r="D23" s="228" t="s">
        <v>165</v>
      </c>
      <c r="E23" s="228" t="s">
        <v>67</v>
      </c>
      <c r="F23" s="228"/>
      <c r="G23" s="228"/>
      <c r="H23" s="322" t="s">
        <v>300</v>
      </c>
      <c r="I23" s="322"/>
      <c r="J23" s="322"/>
      <c r="K23" s="226"/>
      <c r="L23" s="226"/>
      <c r="M23" s="228"/>
      <c r="N23" s="323">
        <f>0.5*C2/C2</f>
        <v>0.5</v>
      </c>
      <c r="O23" s="324" t="s">
        <v>198</v>
      </c>
      <c r="P23" s="344">
        <f>0.1*C2/C2</f>
        <v>0.09999999999999999</v>
      </c>
      <c r="Q23" s="197" t="s">
        <v>199</v>
      </c>
      <c r="R23" s="346" t="s">
        <v>30</v>
      </c>
      <c r="S23" s="243"/>
    </row>
    <row r="24" spans="1:19" s="12" customFormat="1" ht="13.5" customHeight="1">
      <c r="A24" s="243"/>
      <c r="B24" s="342" t="s">
        <v>125</v>
      </c>
      <c r="C24" s="343"/>
      <c r="D24" s="226"/>
      <c r="E24" s="226" t="s">
        <v>238</v>
      </c>
      <c r="F24" s="226"/>
      <c r="G24" s="226"/>
      <c r="H24" s="322" t="s">
        <v>301</v>
      </c>
      <c r="I24" s="322"/>
      <c r="J24" s="322"/>
      <c r="K24" s="226"/>
      <c r="L24" s="226"/>
      <c r="M24" s="228"/>
      <c r="N24" s="323">
        <f>0.2*C2</f>
        <v>0.148</v>
      </c>
      <c r="O24" s="324" t="s">
        <v>198</v>
      </c>
      <c r="P24" s="344">
        <f>2*C2</f>
        <v>1.48</v>
      </c>
      <c r="Q24" s="197" t="s">
        <v>199</v>
      </c>
      <c r="R24" s="331" t="s">
        <v>99</v>
      </c>
      <c r="S24" s="243"/>
    </row>
    <row r="25" spans="1:19" s="12" customFormat="1" ht="13.5" customHeight="1">
      <c r="A25" s="243"/>
      <c r="B25" s="327" t="s">
        <v>257</v>
      </c>
      <c r="C25" s="328"/>
      <c r="D25" s="226" t="s">
        <v>202</v>
      </c>
      <c r="E25" s="226" t="s">
        <v>24</v>
      </c>
      <c r="F25" s="226"/>
      <c r="G25" s="226"/>
      <c r="H25" s="322" t="s">
        <v>302</v>
      </c>
      <c r="I25" s="322"/>
      <c r="J25" s="322"/>
      <c r="K25" s="226"/>
      <c r="L25" s="226"/>
      <c r="M25" s="228"/>
      <c r="N25" s="323">
        <f>0.25*C2</f>
        <v>0.185</v>
      </c>
      <c r="O25" s="324" t="s">
        <v>198</v>
      </c>
      <c r="P25" s="344">
        <f>0.1*C2</f>
        <v>0.074</v>
      </c>
      <c r="Q25" s="197" t="s">
        <v>199</v>
      </c>
      <c r="R25" s="331" t="s">
        <v>200</v>
      </c>
      <c r="S25" s="243"/>
    </row>
    <row r="26" spans="1:19" s="12" customFormat="1" ht="13.5" customHeight="1">
      <c r="A26" s="243"/>
      <c r="B26" s="347" t="s">
        <v>29</v>
      </c>
      <c r="C26" s="348"/>
      <c r="D26" s="226"/>
      <c r="E26" s="226" t="s">
        <v>24</v>
      </c>
      <c r="F26" s="226"/>
      <c r="G26" s="226"/>
      <c r="H26" s="322" t="s">
        <v>303</v>
      </c>
      <c r="I26" s="322"/>
      <c r="J26" s="322"/>
      <c r="K26" s="226"/>
      <c r="L26" s="226"/>
      <c r="M26" s="228"/>
      <c r="N26" s="323">
        <f>0.2*C2</f>
        <v>0.148</v>
      </c>
      <c r="O26" s="324" t="s">
        <v>198</v>
      </c>
      <c r="P26" s="344">
        <f>0.1*C2</f>
        <v>0.074</v>
      </c>
      <c r="Q26" s="197" t="s">
        <v>199</v>
      </c>
      <c r="R26" s="331" t="s">
        <v>200</v>
      </c>
      <c r="S26" s="243"/>
    </row>
    <row r="27" spans="1:19" s="20" customFormat="1" ht="6" customHeight="1">
      <c r="A27" s="274"/>
      <c r="B27" s="261"/>
      <c r="C27" s="261"/>
      <c r="D27" s="262"/>
      <c r="E27" s="263"/>
      <c r="F27" s="262"/>
      <c r="G27" s="262"/>
      <c r="H27" s="263"/>
      <c r="I27" s="263"/>
      <c r="J27" s="263"/>
      <c r="K27" s="263"/>
      <c r="L27" s="263"/>
      <c r="M27" s="264"/>
      <c r="N27" s="289"/>
      <c r="O27" s="290"/>
      <c r="P27" s="267"/>
      <c r="Q27" s="268"/>
      <c r="R27" s="264"/>
      <c r="S27" s="274"/>
    </row>
    <row r="28" spans="1:19" s="12" customFormat="1" ht="13.5" customHeight="1">
      <c r="A28" s="243"/>
      <c r="B28" s="351" t="s">
        <v>306</v>
      </c>
      <c r="C28" s="352" t="s">
        <v>225</v>
      </c>
      <c r="D28" s="353" t="s">
        <v>274</v>
      </c>
      <c r="E28" s="174"/>
      <c r="F28" s="354"/>
      <c r="G28" s="354"/>
      <c r="H28" s="173"/>
      <c r="I28" s="173"/>
      <c r="J28" s="173"/>
      <c r="K28" s="173"/>
      <c r="L28" s="173"/>
      <c r="M28" s="355"/>
      <c r="N28" s="356">
        <f>4*C2</f>
        <v>2.96</v>
      </c>
      <c r="O28" s="339" t="s">
        <v>198</v>
      </c>
      <c r="P28" s="357"/>
      <c r="Q28" s="206"/>
      <c r="R28" s="326" t="s">
        <v>34</v>
      </c>
      <c r="S28" s="243"/>
    </row>
    <row r="29" spans="1:19" s="12" customFormat="1" ht="13.5" customHeight="1">
      <c r="A29" s="243"/>
      <c r="B29" s="319" t="s">
        <v>307</v>
      </c>
      <c r="C29" s="352" t="s">
        <v>225</v>
      </c>
      <c r="D29" s="358" t="s">
        <v>89</v>
      </c>
      <c r="E29" s="322"/>
      <c r="F29" s="321"/>
      <c r="G29" s="321"/>
      <c r="H29" s="226"/>
      <c r="I29" s="226"/>
      <c r="J29" s="226"/>
      <c r="K29" s="226"/>
      <c r="L29" s="226"/>
      <c r="M29" s="359"/>
      <c r="N29" s="329">
        <f>2.5*C2</f>
        <v>1.85</v>
      </c>
      <c r="O29" s="324" t="s">
        <v>198</v>
      </c>
      <c r="P29" s="671">
        <f>200*C2</f>
        <v>148</v>
      </c>
      <c r="Q29" s="197" t="s">
        <v>199</v>
      </c>
      <c r="R29" s="326" t="s">
        <v>35</v>
      </c>
      <c r="S29" s="243"/>
    </row>
    <row r="30" spans="1:19" s="20" customFormat="1" ht="13.5" customHeight="1">
      <c r="A30" s="274"/>
      <c r="B30" s="261"/>
      <c r="C30" s="261"/>
      <c r="D30" s="292"/>
      <c r="E30" s="264"/>
      <c r="F30" s="262"/>
      <c r="G30" s="262"/>
      <c r="H30" s="274"/>
      <c r="I30" s="274"/>
      <c r="J30" s="274"/>
      <c r="K30" s="286"/>
      <c r="L30" s="286"/>
      <c r="M30" s="291"/>
      <c r="N30" s="293"/>
      <c r="O30" s="294"/>
      <c r="P30" s="295"/>
      <c r="Q30" s="288"/>
      <c r="R30" s="287"/>
      <c r="S30" s="274"/>
    </row>
    <row r="31" spans="1:19" s="15" customFormat="1" ht="12.75" customHeight="1">
      <c r="A31" s="296"/>
      <c r="B31" s="302"/>
      <c r="C31" s="303"/>
      <c r="D31" s="655" t="s">
        <v>32</v>
      </c>
      <c r="E31" s="303"/>
      <c r="F31" s="303"/>
      <c r="G31" s="304"/>
      <c r="H31" s="275"/>
      <c r="I31" s="683" t="s">
        <v>33</v>
      </c>
      <c r="J31" s="305"/>
      <c r="K31" s="305"/>
      <c r="L31" s="305"/>
      <c r="M31" s="305"/>
      <c r="N31" s="305"/>
      <c r="O31" s="305"/>
      <c r="P31" s="752" t="s">
        <v>176</v>
      </c>
      <c r="Q31" s="753"/>
      <c r="R31" s="754"/>
      <c r="S31" s="296"/>
    </row>
    <row r="32" spans="1:19" s="15" customFormat="1" ht="4.5" customHeight="1">
      <c r="A32" s="296"/>
      <c r="B32" s="29"/>
      <c r="C32" s="30"/>
      <c r="D32" s="30"/>
      <c r="E32" s="30"/>
      <c r="F32" s="30"/>
      <c r="G32" s="31"/>
      <c r="H32" s="275"/>
      <c r="I32" s="604"/>
      <c r="J32" s="385"/>
      <c r="L32" s="30"/>
      <c r="M32" s="30"/>
      <c r="N32" s="30"/>
      <c r="O32" s="30"/>
      <c r="P32" s="755"/>
      <c r="Q32" s="755"/>
      <c r="R32" s="756"/>
      <c r="S32" s="296"/>
    </row>
    <row r="33" spans="1:19" s="15" customFormat="1" ht="12.75" customHeight="1">
      <c r="A33" s="296"/>
      <c r="B33" s="91"/>
      <c r="C33" s="360" t="s">
        <v>177</v>
      </c>
      <c r="D33" s="361">
        <f>IF(C2&lt;=6,IF(C2&lt;=1.4,3*C2+9-((1.4-C2)/4)*10,3*C2+9),"")</f>
        <v>9.569999999999999</v>
      </c>
      <c r="E33" s="378" t="s">
        <v>10</v>
      </c>
      <c r="F33" s="100"/>
      <c r="G33" s="362"/>
      <c r="H33" s="296"/>
      <c r="I33" s="685" t="s">
        <v>337</v>
      </c>
      <c r="J33" s="687"/>
      <c r="L33" s="385"/>
      <c r="N33" s="385"/>
      <c r="O33" s="34"/>
      <c r="R33" s="32" t="s">
        <v>178</v>
      </c>
      <c r="S33" s="296"/>
    </row>
    <row r="34" spans="1:19" ht="12.75" customHeight="1">
      <c r="A34" s="244"/>
      <c r="B34" s="363"/>
      <c r="C34" s="34"/>
      <c r="D34" s="581" t="s">
        <v>51</v>
      </c>
      <c r="E34" s="15"/>
      <c r="F34" s="15"/>
      <c r="G34" s="35"/>
      <c r="H34" s="280"/>
      <c r="I34" s="384"/>
      <c r="J34" s="688"/>
      <c r="L34" s="730">
        <v>40</v>
      </c>
      <c r="M34" s="729" t="s">
        <v>349</v>
      </c>
      <c r="N34" s="386">
        <f>P34/24</f>
        <v>1.2333333333333334</v>
      </c>
      <c r="O34" s="704" t="s">
        <v>143</v>
      </c>
      <c r="P34" s="706">
        <f>C2*40</f>
        <v>29.6</v>
      </c>
      <c r="Q34" s="210" t="s">
        <v>144</v>
      </c>
      <c r="R34" s="383">
        <v>2.78</v>
      </c>
      <c r="S34" s="244"/>
    </row>
    <row r="35" spans="1:19" ht="12.75" customHeight="1">
      <c r="A35" s="244"/>
      <c r="B35" s="363"/>
      <c r="C35" s="349"/>
      <c r="D35" s="364"/>
      <c r="E35" s="349"/>
      <c r="F35" s="349"/>
      <c r="G35" s="365"/>
      <c r="H35" s="280"/>
      <c r="I35" s="388"/>
      <c r="J35" s="689"/>
      <c r="L35" s="730">
        <v>60</v>
      </c>
      <c r="M35" s="729" t="s">
        <v>349</v>
      </c>
      <c r="N35" s="386">
        <f>P35/24</f>
        <v>1.8499999999999999</v>
      </c>
      <c r="O35" s="704" t="s">
        <v>143</v>
      </c>
      <c r="P35" s="706">
        <f>C2*60</f>
        <v>44.4</v>
      </c>
      <c r="Q35" s="210" t="s">
        <v>144</v>
      </c>
      <c r="R35" s="383">
        <v>4.17</v>
      </c>
      <c r="S35" s="244"/>
    </row>
    <row r="36" spans="1:19" ht="12.75" customHeight="1">
      <c r="A36" s="244"/>
      <c r="B36" s="363"/>
      <c r="C36" s="360" t="s">
        <v>321</v>
      </c>
      <c r="D36" s="361">
        <f>IF(C2&lt;=6,(((C2*3)+9)/2)+1,"")</f>
        <v>6.609999999999999</v>
      </c>
      <c r="E36" s="378" t="s">
        <v>10</v>
      </c>
      <c r="F36" s="366"/>
      <c r="G36" s="362"/>
      <c r="H36" s="280"/>
      <c r="I36" s="384"/>
      <c r="J36" s="688"/>
      <c r="L36" s="730">
        <v>80</v>
      </c>
      <c r="M36" s="729" t="s">
        <v>349</v>
      </c>
      <c r="N36" s="386">
        <f>P36/24</f>
        <v>2.466666666666667</v>
      </c>
      <c r="O36" s="704" t="s">
        <v>143</v>
      </c>
      <c r="P36" s="706">
        <f>C2*80</f>
        <v>59.2</v>
      </c>
      <c r="Q36" s="210" t="s">
        <v>144</v>
      </c>
      <c r="R36" s="383">
        <v>5.56</v>
      </c>
      <c r="S36" s="244"/>
    </row>
    <row r="37" spans="1:19" ht="13.5" customHeight="1">
      <c r="A37" s="244"/>
      <c r="B37" s="367"/>
      <c r="C37" s="368"/>
      <c r="D37" s="580" t="s">
        <v>52</v>
      </c>
      <c r="E37" s="316"/>
      <c r="F37" s="316"/>
      <c r="G37" s="369"/>
      <c r="H37" s="280"/>
      <c r="I37" s="672"/>
      <c r="J37" s="34"/>
      <c r="L37" s="730">
        <v>100</v>
      </c>
      <c r="M37" s="729" t="s">
        <v>349</v>
      </c>
      <c r="N37" s="386">
        <f>P37/24</f>
        <v>3.0833333333333335</v>
      </c>
      <c r="O37" s="704" t="s">
        <v>143</v>
      </c>
      <c r="P37" s="706">
        <f>C2*100</f>
        <v>74</v>
      </c>
      <c r="Q37" s="210" t="s">
        <v>144</v>
      </c>
      <c r="R37" s="383">
        <v>6.94</v>
      </c>
      <c r="S37" s="244"/>
    </row>
    <row r="38" spans="1:19" ht="9" customHeight="1">
      <c r="A38" s="244"/>
      <c r="B38" s="297"/>
      <c r="C38" s="233"/>
      <c r="D38" s="233"/>
      <c r="E38" s="233"/>
      <c r="F38" s="233"/>
      <c r="G38" s="298"/>
      <c r="H38" s="280"/>
      <c r="I38" s="674"/>
      <c r="J38" s="280"/>
      <c r="K38" s="233"/>
      <c r="L38" s="233"/>
      <c r="M38" s="233"/>
      <c r="N38" s="233"/>
      <c r="O38" s="705"/>
      <c r="P38" s="237"/>
      <c r="Q38" s="299"/>
      <c r="R38" s="298"/>
      <c r="S38" s="244"/>
    </row>
    <row r="39" spans="1:19" s="11" customFormat="1" ht="15.75" customHeight="1">
      <c r="A39" s="233"/>
      <c r="B39" s="370"/>
      <c r="C39" s="205"/>
      <c r="D39" s="371" t="s">
        <v>206</v>
      </c>
      <c r="E39" s="372" t="str">
        <f>IF(C2&lt;0.75,"2,0",IF(C2&lt;1.25,"2,5",IF(C2&lt;=2,"3,0",IF(C2&lt;=3,"3,5",IF(C2&lt;12,"4,0",IF(C2&lt;16,"4,5",IF(C2&lt;20,"5,0",IF(C2&lt;24,"5,5",""))))))))</f>
        <v>2,0</v>
      </c>
      <c r="F39" s="373" t="s">
        <v>207</v>
      </c>
      <c r="G39" s="374"/>
      <c r="H39" s="299"/>
      <c r="I39" s="701" t="s">
        <v>338</v>
      </c>
      <c r="J39" s="690"/>
      <c r="L39" s="681"/>
      <c r="M39" s="680"/>
      <c r="N39" s="681"/>
      <c r="O39" s="704"/>
      <c r="P39" s="707"/>
      <c r="Q39" s="210"/>
      <c r="R39" s="682"/>
      <c r="S39" s="233"/>
    </row>
    <row r="40" spans="1:19" s="11" customFormat="1" ht="3.75" customHeight="1">
      <c r="A40" s="233"/>
      <c r="B40" s="363"/>
      <c r="C40" s="349"/>
      <c r="D40" s="349"/>
      <c r="E40" s="349"/>
      <c r="F40" s="349"/>
      <c r="G40" s="365"/>
      <c r="H40" s="233"/>
      <c r="I40" s="684"/>
      <c r="J40" s="690"/>
      <c r="L40" s="387"/>
      <c r="M40" s="680"/>
      <c r="N40" s="681"/>
      <c r="O40" s="704"/>
      <c r="P40" s="707"/>
      <c r="Q40" s="210"/>
      <c r="R40" s="682"/>
      <c r="S40" s="233"/>
    </row>
    <row r="41" spans="1:19" s="11" customFormat="1" ht="14.25">
      <c r="A41" s="233"/>
      <c r="B41" s="375"/>
      <c r="C41" s="211"/>
      <c r="D41" s="376" t="s">
        <v>216</v>
      </c>
      <c r="E41" s="377" t="str">
        <f>IF(C2&lt;=0.7,"5 - 6",IF(C2&lt;1,"6,5 - 7",IF(C2&lt;2,"7 - 8",IF(C2&lt;3,"8 - 9",IF(C2&lt;3.5,"9,5",IF(C2&lt;6,"10",IF(C2&lt;10,"11",IF(C2&lt;12,"12",""))))))))</f>
        <v>6,5 - 7</v>
      </c>
      <c r="F41" s="378" t="s">
        <v>10</v>
      </c>
      <c r="G41" s="365"/>
      <c r="H41" s="233"/>
      <c r="I41" s="679" t="s">
        <v>335</v>
      </c>
      <c r="J41" s="700">
        <v>15</v>
      </c>
      <c r="K41" s="693" t="s">
        <v>336</v>
      </c>
      <c r="L41" s="700">
        <v>54.5</v>
      </c>
      <c r="M41" s="702" t="s">
        <v>334</v>
      </c>
      <c r="N41" s="703">
        <f>C2*L41/24</f>
        <v>1.6804166666666667</v>
      </c>
      <c r="O41" s="704" t="s">
        <v>143</v>
      </c>
      <c r="P41" s="708">
        <f>C2*L41</f>
        <v>40.33</v>
      </c>
      <c r="Q41" s="210" t="s">
        <v>144</v>
      </c>
      <c r="R41" s="709">
        <f>((P41*((J41*1000)/100)/(24*60))/C2)</f>
        <v>5.677083333333334</v>
      </c>
      <c r="S41" s="233"/>
    </row>
    <row r="42" spans="1:19" s="20" customFormat="1" ht="14.25" customHeight="1">
      <c r="A42" s="274"/>
      <c r="B42" s="375"/>
      <c r="C42" s="211"/>
      <c r="D42" s="376" t="s">
        <v>217</v>
      </c>
      <c r="E42" s="377" t="str">
        <f>IF(C2&lt;1,"7",IF(C2&lt;1.5,"7,5",IF(C2&lt;2,"8",IF(C2&lt;2.5,"9",IF(C2&lt;3,"10",IF(C2&lt;3.5,"10,7",IF(C2&lt;4,"11,5",IF(C2&lt;4.5,"12","13 ó +"))))))))</f>
        <v>7</v>
      </c>
      <c r="F42" s="182" t="s">
        <v>10</v>
      </c>
      <c r="G42" s="185"/>
      <c r="H42" s="274"/>
      <c r="I42" s="679"/>
      <c r="J42" s="691"/>
      <c r="K42" s="11"/>
      <c r="R42" s="682"/>
      <c r="S42" s="274"/>
    </row>
    <row r="43" spans="1:19" s="20" customFormat="1" ht="6" customHeight="1">
      <c r="A43" s="274"/>
      <c r="B43" s="379"/>
      <c r="C43" s="380"/>
      <c r="D43" s="334"/>
      <c r="E43" s="381"/>
      <c r="F43" s="382"/>
      <c r="G43" s="181"/>
      <c r="H43" s="274"/>
      <c r="I43" s="673"/>
      <c r="J43" s="692"/>
      <c r="K43" s="677"/>
      <c r="L43" s="694"/>
      <c r="M43" s="675"/>
      <c r="N43" s="676"/>
      <c r="O43" s="389"/>
      <c r="P43" s="677"/>
      <c r="Q43" s="207"/>
      <c r="R43" s="678"/>
      <c r="S43" s="274"/>
    </row>
    <row r="44" spans="1:19" ht="6.75" customHeight="1">
      <c r="A44" s="244"/>
      <c r="B44" s="244"/>
      <c r="C44" s="244"/>
      <c r="D44" s="244"/>
      <c r="E44" s="244"/>
      <c r="F44" s="244"/>
      <c r="G44" s="244"/>
      <c r="H44" s="241"/>
      <c r="I44" s="241"/>
      <c r="J44" s="241"/>
      <c r="K44" s="241"/>
      <c r="L44" s="241"/>
      <c r="M44" s="244"/>
      <c r="N44" s="244"/>
      <c r="O44" s="243"/>
      <c r="P44" s="241"/>
      <c r="Q44" s="241"/>
      <c r="R44" s="241"/>
      <c r="S44" s="244"/>
    </row>
    <row r="45" spans="1:19" ht="12" customHeight="1">
      <c r="A45" s="244"/>
      <c r="B45" s="244"/>
      <c r="C45" s="244"/>
      <c r="D45" s="244"/>
      <c r="E45" s="696" t="str">
        <f>IF(C2="","","Cálculos basados en paciente de:")</f>
        <v>Cálculos basados en paciente de:</v>
      </c>
      <c r="F45" s="652">
        <f>C2</f>
        <v>0.74</v>
      </c>
      <c r="G45" s="697" t="str">
        <f>IF(C2="","","Kg")</f>
        <v>Kg</v>
      </c>
      <c r="H45" s="241"/>
      <c r="I45" s="241"/>
      <c r="J45" s="241"/>
      <c r="K45" s="241"/>
      <c r="L45" s="241"/>
      <c r="M45" s="244"/>
      <c r="N45" s="244"/>
      <c r="O45" s="243"/>
      <c r="P45" s="243"/>
      <c r="Q45" s="300" t="s">
        <v>57</v>
      </c>
      <c r="R45" s="301" t="s">
        <v>109</v>
      </c>
      <c r="S45" s="244"/>
    </row>
    <row r="46" spans="1:19" ht="3.75" customHeight="1">
      <c r="A46" s="233"/>
      <c r="B46" s="233"/>
      <c r="C46" s="233"/>
      <c r="D46" s="233"/>
      <c r="E46" s="233"/>
      <c r="F46" s="233"/>
      <c r="G46" s="233"/>
      <c r="H46" s="233"/>
      <c r="I46" s="233"/>
      <c r="J46" s="233"/>
      <c r="K46" s="233"/>
      <c r="L46" s="233"/>
      <c r="M46" s="233"/>
      <c r="N46" s="233"/>
      <c r="O46" s="233"/>
      <c r="P46" s="233"/>
      <c r="Q46" s="233"/>
      <c r="R46" s="233"/>
      <c r="S46" s="233"/>
    </row>
  </sheetData>
  <sheetProtection password="CDDA" sheet="1" objects="1" scenarios="1"/>
  <mergeCells count="2">
    <mergeCell ref="C2:D2"/>
    <mergeCell ref="P31:R32"/>
  </mergeCells>
  <printOptions/>
  <pageMargins left="0.3937007874015748" right="0.07874015748031496" top="0.07874015748031496" bottom="1" header="0" footer="0"/>
  <pageSetup fitToHeight="1" fitToWidth="1"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58"/>
  <sheetViews>
    <sheetView showGridLines="0" zoomScale="75" zoomScaleNormal="75" workbookViewId="0" topLeftCell="A3">
      <selection activeCell="K30" sqref="K30"/>
    </sheetView>
  </sheetViews>
  <sheetFormatPr defaultColWidth="11.00390625" defaultRowHeight="12"/>
  <cols>
    <col min="1" max="1" width="0.875" style="138" customWidth="1"/>
    <col min="2" max="2" width="30.375" style="138" customWidth="1"/>
    <col min="3" max="3" width="5.375" style="138" customWidth="1"/>
    <col min="4" max="4" width="2.75390625" style="138" customWidth="1"/>
    <col min="5" max="5" width="15.75390625" style="138" customWidth="1"/>
    <col min="6" max="6" width="10.875" style="138" customWidth="1"/>
    <col min="7" max="7" width="7.125" style="14" customWidth="1"/>
    <col min="8" max="8" width="6.375" style="14" customWidth="1"/>
    <col min="9" max="9" width="10.375" style="14" customWidth="1"/>
    <col min="10" max="10" width="7.25390625" style="138" customWidth="1"/>
    <col min="11" max="11" width="6.375" style="138" customWidth="1"/>
    <col min="12" max="12" width="4.00390625" style="138" customWidth="1"/>
    <col min="13" max="14" width="5.25390625" style="138" customWidth="1"/>
    <col min="15" max="15" width="6.75390625" style="138" customWidth="1"/>
    <col min="16" max="16" width="9.125" style="138" customWidth="1"/>
    <col min="17" max="17" width="0.875" style="138" customWidth="1"/>
    <col min="18" max="16384" width="8.875" style="138" customWidth="1"/>
  </cols>
  <sheetData>
    <row r="1" spans="1:17" s="15" customFormat="1" ht="15.75">
      <c r="A1" s="392"/>
      <c r="B1" s="401" t="s">
        <v>320</v>
      </c>
      <c r="C1" s="402"/>
      <c r="D1" s="402"/>
      <c r="E1" s="402"/>
      <c r="F1" s="402"/>
      <c r="G1" s="403"/>
      <c r="H1" s="404"/>
      <c r="I1" s="405"/>
      <c r="J1" s="406" t="s">
        <v>179</v>
      </c>
      <c r="K1" s="757">
        <f ca="1">TODAY()</f>
        <v>37466</v>
      </c>
      <c r="L1" s="758"/>
      <c r="M1" s="405"/>
      <c r="N1" s="404"/>
      <c r="O1" s="407"/>
      <c r="P1" s="404"/>
      <c r="Q1" s="404"/>
    </row>
    <row r="2" spans="1:17" s="15" customFormat="1" ht="15">
      <c r="A2" s="392"/>
      <c r="B2" s="408" t="str">
        <f>IF('1-Reanim'!B6="","",'1-Reanim'!B6)</f>
        <v>Gonzalez Perez, RN</v>
      </c>
      <c r="C2" s="404"/>
      <c r="D2" s="405"/>
      <c r="E2" s="405"/>
      <c r="F2" s="409" t="s">
        <v>123</v>
      </c>
      <c r="G2" s="410">
        <f>'1-Reanim'!C2</f>
        <v>0.74</v>
      </c>
      <c r="H2" s="411" t="s">
        <v>124</v>
      </c>
      <c r="I2" s="406" t="str">
        <f>IF('1-Reanim'!K6="","","Edad:")</f>
        <v>Edad:</v>
      </c>
      <c r="J2" s="412">
        <f>IF('1-Reanim'!J6="","",'1-Reanim'!J6)</f>
        <v>674</v>
      </c>
      <c r="K2" s="405" t="str">
        <f>IF('1-Reanim'!K6="","","días de vida")</f>
        <v>días de vida</v>
      </c>
      <c r="L2" s="405"/>
      <c r="M2" s="404"/>
      <c r="N2" s="404"/>
      <c r="O2" s="404"/>
      <c r="P2" s="404"/>
      <c r="Q2" s="404"/>
    </row>
    <row r="3" spans="1:17" s="99" customFormat="1" ht="4.5" customHeight="1">
      <c r="A3" s="393"/>
      <c r="B3" s="413"/>
      <c r="C3" s="414"/>
      <c r="D3" s="405"/>
      <c r="E3" s="405"/>
      <c r="F3" s="405"/>
      <c r="G3" s="415"/>
      <c r="H3" s="416"/>
      <c r="I3" s="417"/>
      <c r="J3" s="418"/>
      <c r="K3" s="409"/>
      <c r="L3" s="419"/>
      <c r="M3" s="411"/>
      <c r="N3" s="411"/>
      <c r="O3" s="404"/>
      <c r="P3" s="404"/>
      <c r="Q3" s="414"/>
    </row>
    <row r="4" spans="1:17" s="99" customFormat="1" ht="12.75">
      <c r="A4" s="402"/>
      <c r="B4" s="611" t="s">
        <v>344</v>
      </c>
      <c r="C4" s="612"/>
      <c r="D4" s="657" t="s">
        <v>118</v>
      </c>
      <c r="E4" s="613"/>
      <c r="F4" s="613"/>
      <c r="G4" s="657" t="s">
        <v>345</v>
      </c>
      <c r="H4" s="614"/>
      <c r="I4" s="615"/>
      <c r="J4" s="646"/>
      <c r="K4" s="658" t="s">
        <v>221</v>
      </c>
      <c r="L4" s="617"/>
      <c r="M4" s="618"/>
      <c r="N4" s="618"/>
      <c r="O4" s="659"/>
      <c r="P4" s="661" t="s">
        <v>0</v>
      </c>
      <c r="Q4" s="414"/>
    </row>
    <row r="5" spans="1:17" s="15" customFormat="1" ht="12" customHeight="1">
      <c r="A5" s="392"/>
      <c r="B5" s="420"/>
      <c r="C5" s="404"/>
      <c r="D5" s="420"/>
      <c r="E5" s="420"/>
      <c r="F5" s="420"/>
      <c r="G5" s="647" t="s">
        <v>266</v>
      </c>
      <c r="H5" s="647" t="s">
        <v>158</v>
      </c>
      <c r="I5" s="648" t="s">
        <v>71</v>
      </c>
      <c r="J5" s="649"/>
      <c r="K5" s="421"/>
      <c r="L5" s="422"/>
      <c r="M5" s="423"/>
      <c r="N5" s="423"/>
      <c r="O5" s="424"/>
      <c r="P5" s="425"/>
      <c r="Q5" s="404"/>
    </row>
    <row r="6" spans="1:17" s="38" customFormat="1" ht="12" customHeight="1">
      <c r="A6" s="394"/>
      <c r="B6" s="101" t="s">
        <v>28</v>
      </c>
      <c r="C6" s="102"/>
      <c r="D6" s="102" t="s">
        <v>110</v>
      </c>
      <c r="E6" s="102"/>
      <c r="F6" s="102"/>
      <c r="G6" s="75">
        <f>0.75*G2</f>
        <v>0.5549999999999999</v>
      </c>
      <c r="H6" s="76" t="s">
        <v>21</v>
      </c>
      <c r="I6" s="103" t="s">
        <v>205</v>
      </c>
      <c r="J6" s="104"/>
      <c r="K6" s="77">
        <f>15*G2</f>
        <v>11.1</v>
      </c>
      <c r="L6" s="105" t="s">
        <v>199</v>
      </c>
      <c r="M6" s="78" t="s">
        <v>37</v>
      </c>
      <c r="N6" s="78"/>
      <c r="O6" s="102"/>
      <c r="P6" s="106" t="s">
        <v>159</v>
      </c>
      <c r="Q6" s="436"/>
    </row>
    <row r="7" spans="1:17" s="38" customFormat="1" ht="12" customHeight="1">
      <c r="A7" s="394"/>
      <c r="B7" s="107"/>
      <c r="G7" s="45">
        <f>1.875*G2</f>
        <v>1.3875</v>
      </c>
      <c r="H7" s="43" t="s">
        <v>21</v>
      </c>
      <c r="I7" s="108" t="s">
        <v>141</v>
      </c>
      <c r="J7" s="109"/>
      <c r="K7" s="44">
        <f>37.5*G2</f>
        <v>27.75</v>
      </c>
      <c r="L7" s="110" t="s">
        <v>199</v>
      </c>
      <c r="M7" s="24"/>
      <c r="N7" s="24"/>
      <c r="O7" s="22"/>
      <c r="P7" s="97" t="s">
        <v>204</v>
      </c>
      <c r="Q7" s="436"/>
    </row>
    <row r="8" spans="1:17" s="38" customFormat="1" ht="3" customHeight="1">
      <c r="A8" s="394"/>
      <c r="B8" s="426"/>
      <c r="C8" s="427"/>
      <c r="D8" s="427"/>
      <c r="E8" s="427"/>
      <c r="F8" s="427"/>
      <c r="G8" s="428"/>
      <c r="H8" s="429"/>
      <c r="I8" s="430"/>
      <c r="J8" s="431"/>
      <c r="K8" s="432"/>
      <c r="L8" s="433"/>
      <c r="M8" s="434"/>
      <c r="N8" s="434"/>
      <c r="O8" s="427"/>
      <c r="P8" s="435"/>
      <c r="Q8" s="436"/>
    </row>
    <row r="9" spans="1:17" s="38" customFormat="1" ht="12" customHeight="1">
      <c r="A9" s="394"/>
      <c r="B9" s="107" t="s">
        <v>325</v>
      </c>
      <c r="D9" s="38" t="s">
        <v>111</v>
      </c>
      <c r="G9" s="47">
        <f>2.4*G2</f>
        <v>1.776</v>
      </c>
      <c r="H9" s="48" t="s">
        <v>21</v>
      </c>
      <c r="I9" s="37" t="s">
        <v>205</v>
      </c>
      <c r="J9" s="112"/>
      <c r="K9" s="49">
        <f>30*G2</f>
        <v>22.2</v>
      </c>
      <c r="L9" s="113" t="s">
        <v>199</v>
      </c>
      <c r="M9" s="27" t="s">
        <v>269</v>
      </c>
      <c r="N9" s="27"/>
      <c r="P9" s="114" t="s">
        <v>140</v>
      </c>
      <c r="Q9" s="436"/>
    </row>
    <row r="10" spans="1:17" s="38" customFormat="1" ht="12" customHeight="1">
      <c r="A10" s="394"/>
      <c r="B10" s="85" t="s">
        <v>20</v>
      </c>
      <c r="G10" s="45">
        <f>3*G2</f>
        <v>2.2199999999999998</v>
      </c>
      <c r="H10" s="43" t="s">
        <v>21</v>
      </c>
      <c r="I10" s="108" t="s">
        <v>141</v>
      </c>
      <c r="J10" s="109"/>
      <c r="K10" s="44">
        <f>37.5*G2</f>
        <v>27.75</v>
      </c>
      <c r="L10" s="110" t="s">
        <v>199</v>
      </c>
      <c r="M10" s="24"/>
      <c r="N10" s="24"/>
      <c r="O10" s="22"/>
      <c r="P10" s="97" t="s">
        <v>116</v>
      </c>
      <c r="Q10" s="436"/>
    </row>
    <row r="11" spans="1:17" s="38" customFormat="1" ht="3" customHeight="1">
      <c r="A11" s="394"/>
      <c r="B11" s="426"/>
      <c r="C11" s="427"/>
      <c r="D11" s="427"/>
      <c r="E11" s="427"/>
      <c r="F11" s="427"/>
      <c r="G11" s="428"/>
      <c r="H11" s="429"/>
      <c r="I11" s="430"/>
      <c r="J11" s="431"/>
      <c r="K11" s="432"/>
      <c r="L11" s="433"/>
      <c r="M11" s="434"/>
      <c r="N11" s="434"/>
      <c r="O11" s="427"/>
      <c r="P11" s="435"/>
      <c r="Q11" s="436"/>
    </row>
    <row r="12" spans="1:17" s="38" customFormat="1" ht="13.5" customHeight="1">
      <c r="A12" s="394"/>
      <c r="B12" s="16" t="s">
        <v>25</v>
      </c>
      <c r="C12" s="92"/>
      <c r="D12" s="92" t="s">
        <v>113</v>
      </c>
      <c r="E12" s="92"/>
      <c r="F12" s="92"/>
      <c r="G12" s="50">
        <f>1.5*G2</f>
        <v>1.1099999999999999</v>
      </c>
      <c r="H12" s="46" t="s">
        <v>21</v>
      </c>
      <c r="I12" s="111" t="s">
        <v>117</v>
      </c>
      <c r="J12" s="92"/>
      <c r="K12" s="51">
        <f>1.5*G2</f>
        <v>1.1099999999999999</v>
      </c>
      <c r="L12" s="115" t="s">
        <v>199</v>
      </c>
      <c r="M12" s="52" t="s">
        <v>270</v>
      </c>
      <c r="N12" s="52"/>
      <c r="O12" s="92"/>
      <c r="P12" s="87" t="s">
        <v>114</v>
      </c>
      <c r="Q12" s="436"/>
    </row>
    <row r="13" spans="1:17" s="38" customFormat="1" ht="3" customHeight="1">
      <c r="A13" s="394"/>
      <c r="B13" s="447"/>
      <c r="C13" s="437"/>
      <c r="D13" s="437"/>
      <c r="E13" s="437"/>
      <c r="F13" s="437"/>
      <c r="G13" s="438"/>
      <c r="H13" s="439"/>
      <c r="I13" s="440"/>
      <c r="J13" s="437"/>
      <c r="K13" s="441"/>
      <c r="L13" s="442"/>
      <c r="M13" s="443"/>
      <c r="N13" s="443"/>
      <c r="O13" s="437"/>
      <c r="P13" s="444"/>
      <c r="Q13" s="436"/>
    </row>
    <row r="14" spans="1:17" s="38" customFormat="1" ht="13.5" customHeight="1">
      <c r="A14" s="394"/>
      <c r="B14" s="18" t="s">
        <v>219</v>
      </c>
      <c r="C14" s="25"/>
      <c r="D14" s="92" t="s">
        <v>113</v>
      </c>
      <c r="E14" s="25"/>
      <c r="F14" s="25"/>
      <c r="G14" s="50">
        <f>1.5*G2</f>
        <v>1.1099999999999999</v>
      </c>
      <c r="H14" s="43" t="s">
        <v>21</v>
      </c>
      <c r="I14" s="111" t="s">
        <v>117</v>
      </c>
      <c r="J14" s="25"/>
      <c r="K14" s="54">
        <f>1.5*G2</f>
        <v>1.1099999999999999</v>
      </c>
      <c r="L14" s="120" t="s">
        <v>199</v>
      </c>
      <c r="M14" s="26" t="s">
        <v>271</v>
      </c>
      <c r="N14" s="26"/>
      <c r="O14" s="25"/>
      <c r="P14" s="87" t="s">
        <v>114</v>
      </c>
      <c r="Q14" s="436"/>
    </row>
    <row r="15" spans="1:17" s="38" customFormat="1" ht="3" customHeight="1">
      <c r="A15" s="394"/>
      <c r="B15" s="426"/>
      <c r="C15" s="427"/>
      <c r="D15" s="437"/>
      <c r="E15" s="427"/>
      <c r="F15" s="427"/>
      <c r="G15" s="428"/>
      <c r="H15" s="445"/>
      <c r="I15" s="430"/>
      <c r="J15" s="427"/>
      <c r="K15" s="446"/>
      <c r="L15" s="433"/>
      <c r="M15" s="434"/>
      <c r="N15" s="434"/>
      <c r="O15" s="427"/>
      <c r="P15" s="444"/>
      <c r="Q15" s="436"/>
    </row>
    <row r="16" spans="1:17" s="38" customFormat="1" ht="13.5" customHeight="1">
      <c r="A16" s="394"/>
      <c r="B16" s="18" t="s">
        <v>220</v>
      </c>
      <c r="C16" s="25"/>
      <c r="D16" s="25" t="s">
        <v>112</v>
      </c>
      <c r="E16" s="25"/>
      <c r="F16" s="25"/>
      <c r="G16" s="50">
        <f>3.75*G2</f>
        <v>2.775</v>
      </c>
      <c r="H16" s="46" t="s">
        <v>21</v>
      </c>
      <c r="I16" s="111" t="s">
        <v>117</v>
      </c>
      <c r="J16" s="25"/>
      <c r="K16" s="54">
        <f>0.75*G2</f>
        <v>0.5549999999999999</v>
      </c>
      <c r="L16" s="120" t="s">
        <v>199</v>
      </c>
      <c r="M16" s="26" t="s">
        <v>272</v>
      </c>
      <c r="N16" s="26"/>
      <c r="O16" s="25"/>
      <c r="P16" s="95" t="s">
        <v>98</v>
      </c>
      <c r="Q16" s="436"/>
    </row>
    <row r="17" spans="1:17" s="38" customFormat="1" ht="3" customHeight="1">
      <c r="A17" s="394"/>
      <c r="B17" s="426"/>
      <c r="C17" s="427"/>
      <c r="D17" s="437"/>
      <c r="E17" s="427"/>
      <c r="F17" s="427"/>
      <c r="G17" s="428"/>
      <c r="H17" s="445"/>
      <c r="I17" s="430"/>
      <c r="J17" s="427"/>
      <c r="K17" s="446"/>
      <c r="L17" s="433"/>
      <c r="M17" s="434"/>
      <c r="N17" s="434"/>
      <c r="O17" s="427"/>
      <c r="P17" s="444"/>
      <c r="Q17" s="436"/>
    </row>
    <row r="18" spans="1:17" s="38" customFormat="1" ht="12" customHeight="1">
      <c r="A18" s="394"/>
      <c r="B18" s="121" t="s">
        <v>256</v>
      </c>
      <c r="C18" s="22"/>
      <c r="D18" s="22" t="s">
        <v>267</v>
      </c>
      <c r="E18" s="22"/>
      <c r="F18" s="22"/>
      <c r="G18" s="55"/>
      <c r="H18" s="43"/>
      <c r="I18" s="108"/>
      <c r="J18" s="109"/>
      <c r="K18" s="56"/>
      <c r="L18" s="110"/>
      <c r="M18" s="24" t="s">
        <v>259</v>
      </c>
      <c r="N18" s="24"/>
      <c r="O18" s="22"/>
      <c r="P18" s="97"/>
      <c r="Q18" s="436"/>
    </row>
    <row r="19" spans="1:17" s="38" customFormat="1" ht="12" customHeight="1">
      <c r="A19" s="394"/>
      <c r="B19" s="57" t="s">
        <v>22</v>
      </c>
      <c r="C19" s="17" t="s">
        <v>255</v>
      </c>
      <c r="D19" s="92"/>
      <c r="E19" s="92"/>
      <c r="F19" s="92"/>
      <c r="G19" s="58">
        <f>0.6*G2</f>
        <v>0.444</v>
      </c>
      <c r="H19" s="39" t="s">
        <v>21</v>
      </c>
      <c r="I19" s="116" t="s">
        <v>205</v>
      </c>
      <c r="J19" s="122"/>
      <c r="K19" s="51">
        <f>G2*0.3</f>
        <v>0.222</v>
      </c>
      <c r="L19" s="115" t="s">
        <v>199</v>
      </c>
      <c r="M19" s="52"/>
      <c r="N19" s="52"/>
      <c r="O19" s="92"/>
      <c r="P19" s="87" t="s">
        <v>268</v>
      </c>
      <c r="Q19" s="436"/>
    </row>
    <row r="20" spans="1:17" s="38" customFormat="1" ht="3" customHeight="1">
      <c r="A20" s="394"/>
      <c r="B20" s="448"/>
      <c r="C20" s="452"/>
      <c r="D20" s="436"/>
      <c r="E20" s="436"/>
      <c r="F20" s="436"/>
      <c r="G20" s="486"/>
      <c r="H20" s="439"/>
      <c r="I20" s="454"/>
      <c r="J20" s="411"/>
      <c r="K20" s="484"/>
      <c r="L20" s="485"/>
      <c r="M20" s="456"/>
      <c r="N20" s="456"/>
      <c r="O20" s="436"/>
      <c r="P20" s="483"/>
      <c r="Q20" s="436"/>
    </row>
    <row r="21" spans="1:17" s="38" customFormat="1" ht="12" customHeight="1">
      <c r="A21" s="394"/>
      <c r="B21" s="121" t="s">
        <v>132</v>
      </c>
      <c r="C21" s="22"/>
      <c r="D21" s="22" t="s">
        <v>134</v>
      </c>
      <c r="E21" s="22"/>
      <c r="F21" s="22"/>
      <c r="G21" s="55"/>
      <c r="H21" s="43"/>
      <c r="I21" s="108"/>
      <c r="J21" s="109"/>
      <c r="K21" s="56"/>
      <c r="L21" s="110"/>
      <c r="M21" s="24" t="s">
        <v>260</v>
      </c>
      <c r="N21" s="24"/>
      <c r="O21" s="22"/>
      <c r="P21" s="97"/>
      <c r="Q21" s="436"/>
    </row>
    <row r="22" spans="1:17" s="38" customFormat="1" ht="12" customHeight="1">
      <c r="A22" s="394"/>
      <c r="B22" s="57" t="s">
        <v>133</v>
      </c>
      <c r="C22" s="17"/>
      <c r="D22" s="92"/>
      <c r="E22" s="92"/>
      <c r="F22" s="92"/>
      <c r="G22" s="60">
        <f>3.75*G2</f>
        <v>2.775</v>
      </c>
      <c r="H22" s="39" t="s">
        <v>21</v>
      </c>
      <c r="I22" s="116" t="s">
        <v>141</v>
      </c>
      <c r="J22" s="122"/>
      <c r="K22" s="61">
        <f>G2*37.5</f>
        <v>27.75</v>
      </c>
      <c r="L22" s="115" t="s">
        <v>160</v>
      </c>
      <c r="M22" s="52"/>
      <c r="N22" s="52"/>
      <c r="O22" s="92"/>
      <c r="P22" s="87" t="s">
        <v>135</v>
      </c>
      <c r="Q22" s="436"/>
    </row>
    <row r="23" spans="1:17" s="38" customFormat="1" ht="3" customHeight="1">
      <c r="A23" s="394"/>
      <c r="B23" s="449"/>
      <c r="C23" s="452"/>
      <c r="D23" s="436"/>
      <c r="E23" s="436"/>
      <c r="F23" s="436"/>
      <c r="G23" s="453"/>
      <c r="H23" s="439"/>
      <c r="I23" s="454"/>
      <c r="J23" s="411"/>
      <c r="K23" s="455"/>
      <c r="L23" s="422"/>
      <c r="M23" s="456"/>
      <c r="N23" s="456"/>
      <c r="O23" s="436"/>
      <c r="P23" s="482"/>
      <c r="Q23" s="436"/>
    </row>
    <row r="24" spans="1:17" s="38" customFormat="1" ht="13.5" customHeight="1">
      <c r="A24" s="394"/>
      <c r="B24" s="21" t="s">
        <v>72</v>
      </c>
      <c r="C24" s="22"/>
      <c r="D24" s="23" t="s">
        <v>73</v>
      </c>
      <c r="E24" s="22"/>
      <c r="F24" s="22"/>
      <c r="G24" s="662"/>
      <c r="H24" s="43"/>
      <c r="I24" s="108"/>
      <c r="J24" s="663" t="s">
        <v>1</v>
      </c>
      <c r="K24" s="44">
        <f>G2*50</f>
        <v>37</v>
      </c>
      <c r="L24" s="110" t="s">
        <v>160</v>
      </c>
      <c r="M24" s="63" t="s">
        <v>261</v>
      </c>
      <c r="N24" s="24"/>
      <c r="O24" s="22"/>
      <c r="P24" s="89" t="s">
        <v>74</v>
      </c>
      <c r="Q24" s="436"/>
    </row>
    <row r="25" spans="1:17" s="38" customFormat="1" ht="12" customHeight="1">
      <c r="A25" s="394"/>
      <c r="B25" s="79"/>
      <c r="C25" s="124"/>
      <c r="D25" s="88" t="s">
        <v>136</v>
      </c>
      <c r="E25" s="88"/>
      <c r="F25" s="88"/>
      <c r="G25" s="153">
        <f>2.25*G2</f>
        <v>1.665</v>
      </c>
      <c r="H25" s="154" t="s">
        <v>21</v>
      </c>
      <c r="I25" s="129" t="s">
        <v>141</v>
      </c>
      <c r="J25" s="155"/>
      <c r="K25" s="156">
        <f>G2*2.25</f>
        <v>1.665</v>
      </c>
      <c r="L25" s="132" t="s">
        <v>199</v>
      </c>
      <c r="M25" s="157"/>
      <c r="N25" s="157"/>
      <c r="O25" s="88"/>
      <c r="P25" s="134" t="s">
        <v>137</v>
      </c>
      <c r="Q25" s="436"/>
    </row>
    <row r="26" spans="1:17" s="38" customFormat="1" ht="7.5" customHeight="1">
      <c r="A26" s="394"/>
      <c r="B26" s="449"/>
      <c r="C26" s="452"/>
      <c r="D26" s="436"/>
      <c r="E26" s="436"/>
      <c r="F26" s="436"/>
      <c r="G26" s="453"/>
      <c r="H26" s="439"/>
      <c r="I26" s="454"/>
      <c r="J26" s="411"/>
      <c r="K26" s="457"/>
      <c r="L26" s="422"/>
      <c r="M26" s="456"/>
      <c r="N26" s="456"/>
      <c r="O26" s="436"/>
      <c r="P26" s="482"/>
      <c r="Q26" s="436"/>
    </row>
    <row r="27" spans="1:17" s="38" customFormat="1" ht="13.5" customHeight="1">
      <c r="A27" s="394"/>
      <c r="B27" s="101" t="s">
        <v>23</v>
      </c>
      <c r="C27" s="125"/>
      <c r="D27" s="102" t="s">
        <v>81</v>
      </c>
      <c r="E27" s="102"/>
      <c r="F27" s="102"/>
      <c r="G27" s="80">
        <f>IF(G2&lt;=3,5*G2,"")</f>
        <v>3.7</v>
      </c>
      <c r="H27" s="76" t="str">
        <f>IF(G2&lt;=3,"ml ----&gt;","")</f>
        <v>ml ----&gt;</v>
      </c>
      <c r="I27" s="103" t="str">
        <f>IF(G2&lt;=3,"en SG. ó SF. hasta 25 ml","")</f>
        <v>en SG. ó SF. hasta 25 ml</v>
      </c>
      <c r="J27" s="104"/>
      <c r="K27" s="81">
        <f>IF(G2&lt;=3,0.249*G2,"")</f>
        <v>0.18426</v>
      </c>
      <c r="L27" s="105" t="str">
        <f>IF(G2&lt;=3,"mg","")</f>
        <v>mg</v>
      </c>
      <c r="M27" s="78" t="s">
        <v>262</v>
      </c>
      <c r="N27" s="78"/>
      <c r="O27" s="102"/>
      <c r="P27" s="106" t="str">
        <f>IF(G2&lt;=3,"0.1 ml/hr = 1 mcg/kg/hr","")</f>
        <v>0.1 ml/hr = 1 mcg/kg/hr</v>
      </c>
      <c r="Q27" s="436"/>
    </row>
    <row r="28" spans="1:17" s="38" customFormat="1" ht="12" customHeight="1">
      <c r="A28" s="394"/>
      <c r="B28" s="126" t="s">
        <v>355</v>
      </c>
      <c r="C28" s="92"/>
      <c r="D28" s="17"/>
      <c r="E28" s="92"/>
      <c r="F28" s="92"/>
      <c r="G28" s="60">
        <f>IF(G2&gt;3,2.5*G2,"")</f>
      </c>
      <c r="H28" s="39">
        <f>IF(G2&gt;3,"ml ----&gt;","")</f>
      </c>
      <c r="I28" s="116">
        <f>IF(G2&gt;3,"en SG. ó SF. hasta 25 ml","")</f>
      </c>
      <c r="J28" s="122"/>
      <c r="K28" s="51">
        <f>IF(G2&gt;3,0.125*G2,"")</f>
      </c>
      <c r="L28" s="115">
        <f>IF(G2&gt;3,"mg","")</f>
      </c>
      <c r="M28" s="118"/>
      <c r="N28" s="118"/>
      <c r="O28" s="92"/>
      <c r="P28" s="87">
        <f>IF(G2&gt;3,"0.2 ml/h = 1 mcg/kg/hr","")</f>
      </c>
      <c r="Q28" s="436"/>
    </row>
    <row r="29" spans="1:17" s="38" customFormat="1" ht="3" customHeight="1">
      <c r="A29" s="394"/>
      <c r="B29" s="426"/>
      <c r="C29" s="427"/>
      <c r="D29" s="437"/>
      <c r="E29" s="427"/>
      <c r="F29" s="427"/>
      <c r="G29" s="428"/>
      <c r="H29" s="445"/>
      <c r="I29" s="430"/>
      <c r="J29" s="427"/>
      <c r="K29" s="446"/>
      <c r="L29" s="433"/>
      <c r="M29" s="434"/>
      <c r="N29" s="434"/>
      <c r="O29" s="427"/>
      <c r="P29" s="444"/>
      <c r="Q29" s="436"/>
    </row>
    <row r="30" spans="1:17" s="38" customFormat="1" ht="13.5" customHeight="1">
      <c r="A30" s="394"/>
      <c r="B30" s="21" t="s">
        <v>121</v>
      </c>
      <c r="D30" s="22" t="s">
        <v>82</v>
      </c>
      <c r="E30" s="22"/>
      <c r="F30" s="22"/>
      <c r="G30" s="64"/>
      <c r="H30" s="65"/>
      <c r="I30" s="108"/>
      <c r="J30" s="109"/>
      <c r="K30" s="62"/>
      <c r="L30" s="110"/>
      <c r="M30" s="24" t="s">
        <v>263</v>
      </c>
      <c r="N30" s="24"/>
      <c r="O30" s="22"/>
      <c r="P30" s="97"/>
      <c r="Q30" s="436"/>
    </row>
    <row r="31" spans="1:17" s="38" customFormat="1" ht="13.5" customHeight="1">
      <c r="A31" s="394"/>
      <c r="B31" s="16"/>
      <c r="C31" s="17"/>
      <c r="D31" s="92" t="s">
        <v>83</v>
      </c>
      <c r="E31" s="92"/>
      <c r="F31" s="92"/>
      <c r="G31" s="51">
        <f>0.5*G2</f>
        <v>0.37</v>
      </c>
      <c r="H31" s="39" t="s">
        <v>21</v>
      </c>
      <c r="I31" s="116" t="s">
        <v>205</v>
      </c>
      <c r="J31" s="122"/>
      <c r="K31" s="61">
        <f>G2*5</f>
        <v>3.7</v>
      </c>
      <c r="L31" s="115" t="s">
        <v>199</v>
      </c>
      <c r="M31" s="118"/>
      <c r="N31" s="118"/>
      <c r="O31" s="92"/>
      <c r="P31" s="87" t="s">
        <v>70</v>
      </c>
      <c r="Q31" s="436"/>
    </row>
    <row r="32" spans="1:17" s="38" customFormat="1" ht="3" customHeight="1">
      <c r="A32" s="394"/>
      <c r="B32" s="450"/>
      <c r="C32" s="458"/>
      <c r="D32" s="436"/>
      <c r="E32" s="458"/>
      <c r="F32" s="458"/>
      <c r="G32" s="459"/>
      <c r="H32" s="445"/>
      <c r="I32" s="460"/>
      <c r="J32" s="458"/>
      <c r="K32" s="461"/>
      <c r="L32" s="462"/>
      <c r="M32" s="463"/>
      <c r="N32" s="463"/>
      <c r="O32" s="458"/>
      <c r="P32" s="482"/>
      <c r="Q32" s="436"/>
    </row>
    <row r="33" spans="1:17" s="38" customFormat="1" ht="13.5" customHeight="1">
      <c r="A33" s="394"/>
      <c r="B33" s="21" t="s">
        <v>84</v>
      </c>
      <c r="C33" s="23"/>
      <c r="D33" s="23" t="s">
        <v>167</v>
      </c>
      <c r="E33" s="22"/>
      <c r="F33" s="22"/>
      <c r="G33" s="44">
        <f>3*G2</f>
        <v>2.2199999999999998</v>
      </c>
      <c r="H33" s="66" t="s">
        <v>21</v>
      </c>
      <c r="I33" s="108" t="s">
        <v>117</v>
      </c>
      <c r="J33" s="123"/>
      <c r="K33" s="44">
        <f>3*G2</f>
        <v>2.2199999999999998</v>
      </c>
      <c r="L33" s="110" t="s">
        <v>199</v>
      </c>
      <c r="M33" s="24" t="s">
        <v>264</v>
      </c>
      <c r="N33" s="24"/>
      <c r="O33" s="22"/>
      <c r="P33" s="97" t="s">
        <v>50</v>
      </c>
      <c r="Q33" s="436"/>
    </row>
    <row r="34" spans="1:17" s="38" customFormat="1" ht="13.5" customHeight="1">
      <c r="A34" s="394"/>
      <c r="B34" s="127" t="s">
        <v>237</v>
      </c>
      <c r="C34" s="124"/>
      <c r="D34" s="124" t="s">
        <v>291</v>
      </c>
      <c r="E34" s="88"/>
      <c r="F34" s="82"/>
      <c r="G34" s="83"/>
      <c r="H34" s="128"/>
      <c r="I34" s="129"/>
      <c r="J34" s="130"/>
      <c r="K34" s="131"/>
      <c r="L34" s="132"/>
      <c r="M34" s="133"/>
      <c r="N34" s="133"/>
      <c r="O34" s="88"/>
      <c r="P34" s="134"/>
      <c r="Q34" s="436"/>
    </row>
    <row r="35" spans="1:17" s="38" customFormat="1" ht="7.5" customHeight="1">
      <c r="A35" s="394"/>
      <c r="B35" s="451"/>
      <c r="C35" s="436"/>
      <c r="D35" s="436"/>
      <c r="E35" s="436"/>
      <c r="F35" s="436"/>
      <c r="G35" s="464"/>
      <c r="H35" s="464"/>
      <c r="I35" s="454"/>
      <c r="J35" s="411"/>
      <c r="K35" s="465"/>
      <c r="L35" s="422"/>
      <c r="M35" s="466"/>
      <c r="N35" s="466"/>
      <c r="O35" s="436"/>
      <c r="P35" s="482"/>
      <c r="Q35" s="436"/>
    </row>
    <row r="36" spans="1:17" s="38" customFormat="1" ht="13.5" customHeight="1">
      <c r="A36" s="394"/>
      <c r="B36" s="21" t="s">
        <v>254</v>
      </c>
      <c r="C36" s="22"/>
      <c r="D36" s="23" t="s">
        <v>69</v>
      </c>
      <c r="E36" s="22"/>
      <c r="F36" s="22"/>
      <c r="G36" s="135"/>
      <c r="H36" s="135"/>
      <c r="I36" s="108"/>
      <c r="J36" s="109"/>
      <c r="K36" s="136"/>
      <c r="L36" s="65"/>
      <c r="M36" s="137"/>
      <c r="N36" s="137"/>
      <c r="O36" s="22"/>
      <c r="P36" s="97" t="s">
        <v>36</v>
      </c>
      <c r="Q36" s="436"/>
    </row>
    <row r="37" spans="1:17" ht="12.75">
      <c r="A37" s="395"/>
      <c r="B37" s="67"/>
      <c r="C37" s="92"/>
      <c r="D37" s="92"/>
      <c r="E37" s="122"/>
      <c r="F37" s="68" t="s">
        <v>265</v>
      </c>
      <c r="G37" s="53">
        <f>1*G2</f>
        <v>0.74</v>
      </c>
      <c r="H37" s="69" t="s">
        <v>85</v>
      </c>
      <c r="I37" s="116"/>
      <c r="J37" s="92"/>
      <c r="K37" s="92"/>
      <c r="L37" s="92"/>
      <c r="M37" s="92"/>
      <c r="N37" s="92"/>
      <c r="O37" s="92"/>
      <c r="P37" s="87" t="s">
        <v>305</v>
      </c>
      <c r="Q37" s="397"/>
    </row>
    <row r="38" spans="1:17" ht="10.5" customHeight="1">
      <c r="A38" s="395"/>
      <c r="B38" s="397"/>
      <c r="C38" s="397"/>
      <c r="D38" s="397"/>
      <c r="E38" s="397"/>
      <c r="F38" s="397"/>
      <c r="G38" s="398"/>
      <c r="H38" s="398"/>
      <c r="I38" s="398"/>
      <c r="J38" s="397"/>
      <c r="K38" s="397"/>
      <c r="L38" s="397"/>
      <c r="M38" s="397"/>
      <c r="N38" s="397"/>
      <c r="O38" s="397"/>
      <c r="P38" s="397"/>
      <c r="Q38" s="397"/>
    </row>
    <row r="39" spans="1:17" s="15" customFormat="1" ht="12.75">
      <c r="A39" s="392"/>
      <c r="B39" s="611" t="s">
        <v>80</v>
      </c>
      <c r="C39" s="612"/>
      <c r="D39" s="613" t="s">
        <v>118</v>
      </c>
      <c r="E39" s="613"/>
      <c r="F39" s="613"/>
      <c r="G39" s="627" t="s">
        <v>119</v>
      </c>
      <c r="H39" s="615"/>
      <c r="I39" s="615"/>
      <c r="J39" s="619"/>
      <c r="K39" s="620" t="s">
        <v>120</v>
      </c>
      <c r="L39" s="621"/>
      <c r="M39" s="658" t="s">
        <v>104</v>
      </c>
      <c r="N39" s="616"/>
      <c r="O39" s="616"/>
      <c r="P39" s="660" t="s">
        <v>90</v>
      </c>
      <c r="Q39" s="404"/>
    </row>
    <row r="40" spans="1:17" ht="6" customHeight="1">
      <c r="A40" s="395"/>
      <c r="B40" s="397"/>
      <c r="C40" s="397"/>
      <c r="D40" s="397"/>
      <c r="E40" s="397"/>
      <c r="F40" s="397"/>
      <c r="G40" s="398"/>
      <c r="H40" s="398"/>
      <c r="I40" s="468"/>
      <c r="J40" s="436"/>
      <c r="K40" s="397"/>
      <c r="L40" s="397"/>
      <c r="M40" s="397"/>
      <c r="N40" s="397"/>
      <c r="O40" s="397"/>
      <c r="P40" s="397"/>
      <c r="Q40" s="397"/>
    </row>
    <row r="41" spans="1:17" ht="15.75" customHeight="1">
      <c r="A41" s="395"/>
      <c r="B41" s="86" t="s">
        <v>49</v>
      </c>
      <c r="C41" s="25"/>
      <c r="D41" s="25" t="s">
        <v>328</v>
      </c>
      <c r="E41" s="25"/>
      <c r="F41" s="25"/>
      <c r="G41" s="19" t="s">
        <v>47</v>
      </c>
      <c r="H41" s="19"/>
      <c r="I41" s="19"/>
      <c r="J41" s="19"/>
      <c r="K41" s="139">
        <f>1*G2</f>
        <v>0.74</v>
      </c>
      <c r="L41" s="140" t="s">
        <v>198</v>
      </c>
      <c r="M41" s="70">
        <f>100*G2</f>
        <v>74</v>
      </c>
      <c r="N41" s="120" t="s">
        <v>199</v>
      </c>
      <c r="O41" s="96" t="s">
        <v>309</v>
      </c>
      <c r="P41" s="95" t="s">
        <v>308</v>
      </c>
      <c r="Q41" s="397"/>
    </row>
    <row r="42" spans="1:17" ht="15.75" customHeight="1">
      <c r="A42" s="395"/>
      <c r="B42" s="86" t="s">
        <v>273</v>
      </c>
      <c r="C42" s="25"/>
      <c r="D42" s="25" t="s">
        <v>329</v>
      </c>
      <c r="E42" s="25"/>
      <c r="F42" s="25"/>
      <c r="G42" s="19" t="s">
        <v>48</v>
      </c>
      <c r="H42" s="25"/>
      <c r="I42" s="25"/>
      <c r="J42" s="19"/>
      <c r="K42" s="141">
        <f>0.35*G2</f>
        <v>0.259</v>
      </c>
      <c r="L42" s="140" t="s">
        <v>198</v>
      </c>
      <c r="M42" s="70">
        <f>35*G2</f>
        <v>25.9</v>
      </c>
      <c r="N42" s="120" t="s">
        <v>199</v>
      </c>
      <c r="O42" s="96" t="s">
        <v>311</v>
      </c>
      <c r="P42" s="95" t="s">
        <v>310</v>
      </c>
      <c r="Q42" s="397"/>
    </row>
    <row r="43" spans="1:17" s="38" customFormat="1" ht="3" customHeight="1">
      <c r="A43" s="394"/>
      <c r="B43" s="436"/>
      <c r="C43" s="436"/>
      <c r="D43" s="436"/>
      <c r="E43" s="436"/>
      <c r="F43" s="436"/>
      <c r="G43" s="452"/>
      <c r="H43" s="452"/>
      <c r="I43" s="456"/>
      <c r="J43" s="436"/>
      <c r="K43" s="436"/>
      <c r="L43" s="436"/>
      <c r="M43" s="436"/>
      <c r="N43" s="436"/>
      <c r="O43" s="436"/>
      <c r="P43" s="456"/>
      <c r="Q43" s="436"/>
    </row>
    <row r="44" spans="1:17" ht="12.75" customHeight="1">
      <c r="A44" s="395"/>
      <c r="B44" s="158" t="s">
        <v>95</v>
      </c>
      <c r="C44" s="22"/>
      <c r="D44" s="22"/>
      <c r="E44" s="23" t="s">
        <v>96</v>
      </c>
      <c r="F44" s="22"/>
      <c r="G44" s="23" t="s">
        <v>94</v>
      </c>
      <c r="H44" s="23"/>
      <c r="I44" s="23"/>
      <c r="J44" s="23"/>
      <c r="K44" s="149">
        <f>0.16*G2</f>
        <v>0.1184</v>
      </c>
      <c r="L44" s="143" t="s">
        <v>198</v>
      </c>
      <c r="M44" s="84">
        <f>50*G2</f>
        <v>37</v>
      </c>
      <c r="N44" s="65" t="s">
        <v>160</v>
      </c>
      <c r="O44" s="63" t="s">
        <v>313</v>
      </c>
      <c r="P44" s="97" t="s">
        <v>312</v>
      </c>
      <c r="Q44" s="397"/>
    </row>
    <row r="45" spans="1:17" s="14" customFormat="1" ht="9.75" customHeight="1">
      <c r="A45" s="396"/>
      <c r="B45" s="36"/>
      <c r="C45" s="119" t="s">
        <v>168</v>
      </c>
      <c r="D45" s="17" t="s">
        <v>169</v>
      </c>
      <c r="E45" s="17"/>
      <c r="F45" s="17"/>
      <c r="G45" s="17"/>
      <c r="H45" s="17"/>
      <c r="I45" s="17"/>
      <c r="J45" s="17"/>
      <c r="K45" s="36"/>
      <c r="L45" s="159"/>
      <c r="M45" s="36"/>
      <c r="N45" s="160"/>
      <c r="O45" s="17"/>
      <c r="P45" s="94"/>
      <c r="Q45" s="398"/>
    </row>
    <row r="46" spans="1:17" s="38" customFormat="1" ht="7.5" customHeight="1">
      <c r="A46" s="394"/>
      <c r="B46" s="426"/>
      <c r="C46" s="427"/>
      <c r="D46" s="427"/>
      <c r="E46" s="427"/>
      <c r="F46" s="427"/>
      <c r="G46" s="469"/>
      <c r="H46" s="469"/>
      <c r="I46" s="469"/>
      <c r="J46" s="469"/>
      <c r="K46" s="470"/>
      <c r="L46" s="471"/>
      <c r="M46" s="472"/>
      <c r="N46" s="433"/>
      <c r="O46" s="433"/>
      <c r="P46" s="434"/>
      <c r="Q46" s="436"/>
    </row>
    <row r="47" spans="1:17" ht="12.75" customHeight="1">
      <c r="A47" s="395"/>
      <c r="B47" s="21" t="s">
        <v>102</v>
      </c>
      <c r="C47" s="22"/>
      <c r="D47" s="23" t="s">
        <v>62</v>
      </c>
      <c r="E47" s="23"/>
      <c r="F47" s="23"/>
      <c r="G47" s="23" t="s">
        <v>197</v>
      </c>
      <c r="H47" s="23"/>
      <c r="I47" s="23"/>
      <c r="J47" s="23"/>
      <c r="K47" s="142">
        <f>1*G2</f>
        <v>0.74</v>
      </c>
      <c r="L47" s="143" t="s">
        <v>198</v>
      </c>
      <c r="M47" s="56">
        <f>20*G2</f>
        <v>14.8</v>
      </c>
      <c r="N47" s="110" t="s">
        <v>199</v>
      </c>
      <c r="O47" s="24" t="s">
        <v>315</v>
      </c>
      <c r="P47" s="97" t="s">
        <v>314</v>
      </c>
      <c r="Q47" s="397"/>
    </row>
    <row r="48" spans="1:17" s="38" customFormat="1" ht="9.75" customHeight="1">
      <c r="A48" s="394"/>
      <c r="B48" s="144" t="s">
        <v>105</v>
      </c>
      <c r="D48" s="145" t="s">
        <v>327</v>
      </c>
      <c r="E48" s="146"/>
      <c r="F48" s="146"/>
      <c r="J48" s="28"/>
      <c r="K48" s="59"/>
      <c r="L48" s="147"/>
      <c r="M48" s="71"/>
      <c r="N48" s="113"/>
      <c r="O48" s="33"/>
      <c r="P48" s="98"/>
      <c r="Q48" s="436"/>
    </row>
    <row r="49" spans="1:17" s="38" customFormat="1" ht="12">
      <c r="A49" s="394"/>
      <c r="B49" s="72"/>
      <c r="C49" s="92"/>
      <c r="D49" s="17" t="s">
        <v>63</v>
      </c>
      <c r="E49" s="92"/>
      <c r="F49" s="92"/>
      <c r="G49" s="17"/>
      <c r="H49" s="17"/>
      <c r="I49" s="17"/>
      <c r="J49" s="92"/>
      <c r="K49" s="72"/>
      <c r="L49" s="148"/>
      <c r="M49" s="72"/>
      <c r="N49" s="148"/>
      <c r="O49" s="92"/>
      <c r="P49" s="93"/>
      <c r="Q49" s="436"/>
    </row>
    <row r="50" spans="1:17" s="38" customFormat="1" ht="3" customHeight="1">
      <c r="A50" s="394"/>
      <c r="B50" s="436"/>
      <c r="C50" s="436"/>
      <c r="D50" s="452"/>
      <c r="E50" s="436"/>
      <c r="F50" s="436"/>
      <c r="G50" s="452"/>
      <c r="H50" s="452"/>
      <c r="I50" s="452"/>
      <c r="J50" s="436"/>
      <c r="K50" s="436"/>
      <c r="L50" s="436"/>
      <c r="M50" s="436"/>
      <c r="N50" s="436"/>
      <c r="O50" s="436"/>
      <c r="P50" s="456"/>
      <c r="Q50" s="436"/>
    </row>
    <row r="51" spans="1:17" ht="12.75" customHeight="1">
      <c r="A51" s="395"/>
      <c r="B51" s="21" t="s">
        <v>103</v>
      </c>
      <c r="C51" s="22"/>
      <c r="D51" s="23" t="s">
        <v>106</v>
      </c>
      <c r="E51" s="23"/>
      <c r="F51" s="23"/>
      <c r="G51" s="23" t="s">
        <v>16</v>
      </c>
      <c r="H51" s="23"/>
      <c r="I51" s="23"/>
      <c r="J51" s="23"/>
      <c r="K51" s="149">
        <f>0.75*G2</f>
        <v>0.5549999999999999</v>
      </c>
      <c r="L51" s="143" t="s">
        <v>198</v>
      </c>
      <c r="M51" s="56">
        <f>15*G2</f>
        <v>11.1</v>
      </c>
      <c r="N51" s="110" t="s">
        <v>199</v>
      </c>
      <c r="O51" s="24" t="s">
        <v>317</v>
      </c>
      <c r="P51" s="97" t="s">
        <v>316</v>
      </c>
      <c r="Q51" s="397"/>
    </row>
    <row r="52" spans="1:17" ht="12.75" customHeight="1">
      <c r="A52" s="395"/>
      <c r="B52" s="67" t="s">
        <v>174</v>
      </c>
      <c r="C52" s="92"/>
      <c r="D52" s="17" t="s">
        <v>252</v>
      </c>
      <c r="E52" s="17"/>
      <c r="F52" s="17"/>
      <c r="G52" s="90"/>
      <c r="H52" s="17"/>
      <c r="I52" s="17"/>
      <c r="J52" s="17"/>
      <c r="K52" s="150"/>
      <c r="L52" s="151"/>
      <c r="M52" s="73"/>
      <c r="N52" s="115"/>
      <c r="O52" s="117"/>
      <c r="P52" s="94"/>
      <c r="Q52" s="397"/>
    </row>
    <row r="53" spans="1:17" s="38" customFormat="1" ht="3" customHeight="1">
      <c r="A53" s="394"/>
      <c r="B53" s="444"/>
      <c r="C53" s="437"/>
      <c r="D53" s="473"/>
      <c r="E53" s="473"/>
      <c r="F53" s="473"/>
      <c r="G53" s="474"/>
      <c r="H53" s="473"/>
      <c r="I53" s="473"/>
      <c r="J53" s="473"/>
      <c r="K53" s="475"/>
      <c r="L53" s="476"/>
      <c r="M53" s="477"/>
      <c r="N53" s="442"/>
      <c r="O53" s="442"/>
      <c r="P53" s="481"/>
      <c r="Q53" s="436"/>
    </row>
    <row r="54" spans="1:17" ht="12.75" customHeight="1">
      <c r="A54" s="395"/>
      <c r="B54" s="18" t="s">
        <v>218</v>
      </c>
      <c r="C54" s="25"/>
      <c r="D54" s="25" t="s">
        <v>61</v>
      </c>
      <c r="E54" s="25"/>
      <c r="F54" s="25"/>
      <c r="G54" s="25" t="s">
        <v>203</v>
      </c>
      <c r="H54" s="25"/>
      <c r="I54" s="25"/>
      <c r="J54" s="19"/>
      <c r="K54" s="152">
        <f>0.2*G2</f>
        <v>0.148</v>
      </c>
      <c r="L54" s="140" t="s">
        <v>198</v>
      </c>
      <c r="M54" s="74">
        <f>0.1*G2</f>
        <v>0.074</v>
      </c>
      <c r="N54" s="120" t="s">
        <v>199</v>
      </c>
      <c r="O54" s="96" t="s">
        <v>319</v>
      </c>
      <c r="P54" s="95" t="s">
        <v>318</v>
      </c>
      <c r="Q54" s="397"/>
    </row>
    <row r="55" spans="1:17" s="38" customFormat="1" ht="7.5" customHeight="1">
      <c r="A55" s="394"/>
      <c r="B55" s="467"/>
      <c r="C55" s="436"/>
      <c r="D55" s="436"/>
      <c r="E55" s="436"/>
      <c r="F55" s="436"/>
      <c r="G55" s="436"/>
      <c r="H55" s="436"/>
      <c r="I55" s="436"/>
      <c r="J55" s="452"/>
      <c r="K55" s="478"/>
      <c r="L55" s="479"/>
      <c r="M55" s="480"/>
      <c r="N55" s="480"/>
      <c r="O55" s="422"/>
      <c r="P55" s="436"/>
      <c r="Q55" s="436"/>
    </row>
    <row r="56" spans="1:17" ht="9" customHeight="1">
      <c r="A56" s="395"/>
      <c r="B56" s="397"/>
      <c r="C56" s="397"/>
      <c r="D56" s="397"/>
      <c r="E56" s="397"/>
      <c r="F56" s="397"/>
      <c r="G56" s="398"/>
      <c r="H56" s="398"/>
      <c r="I56" s="398"/>
      <c r="J56" s="397"/>
      <c r="K56" s="397"/>
      <c r="L56" s="397"/>
      <c r="M56" s="397"/>
      <c r="N56" s="397"/>
      <c r="O56" s="397"/>
      <c r="P56" s="397"/>
      <c r="Q56" s="397"/>
    </row>
    <row r="57" spans="1:17" ht="12">
      <c r="A57" s="395"/>
      <c r="B57" s="397"/>
      <c r="C57" s="397"/>
      <c r="D57" s="397"/>
      <c r="E57" s="397"/>
      <c r="F57" s="397"/>
      <c r="G57" s="398"/>
      <c r="H57" s="398"/>
      <c r="I57" s="398"/>
      <c r="J57" s="397"/>
      <c r="K57" s="397"/>
      <c r="L57" s="397"/>
      <c r="M57" s="397"/>
      <c r="N57" s="397"/>
      <c r="O57" s="399" t="s">
        <v>126</v>
      </c>
      <c r="P57" s="400" t="s">
        <v>109</v>
      </c>
      <c r="Q57" s="397"/>
    </row>
    <row r="58" spans="1:17" ht="1.5" customHeight="1">
      <c r="A58" s="397"/>
      <c r="B58" s="397"/>
      <c r="C58" s="397"/>
      <c r="D58" s="397"/>
      <c r="E58" s="397"/>
      <c r="F58" s="397"/>
      <c r="G58" s="398"/>
      <c r="H58" s="398"/>
      <c r="I58" s="398"/>
      <c r="J58" s="397"/>
      <c r="K58" s="397"/>
      <c r="L58" s="397"/>
      <c r="M58" s="397"/>
      <c r="N58" s="397"/>
      <c r="O58" s="397"/>
      <c r="P58" s="397"/>
      <c r="Q58" s="397"/>
    </row>
  </sheetData>
  <sheetProtection password="CDDA" sheet="1" objects="1" scenarios="1"/>
  <mergeCells count="1">
    <mergeCell ref="K1:L1"/>
  </mergeCells>
  <printOptions/>
  <pageMargins left="0.3937007874015748" right="0.07874015748031496" top="0.07874015748031496" bottom="1" header="0" footer="0"/>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105"/>
  <sheetViews>
    <sheetView showGridLines="0" zoomScale="90" zoomScaleNormal="90" workbookViewId="0" topLeftCell="A1">
      <selection activeCell="S62" sqref="S62"/>
    </sheetView>
  </sheetViews>
  <sheetFormatPr defaultColWidth="11.00390625" defaultRowHeight="12"/>
  <cols>
    <col min="1" max="1" width="1.12109375" style="12" customWidth="1"/>
    <col min="2" max="2" width="2.00390625" style="12" customWidth="1"/>
    <col min="3" max="3" width="12.25390625" style="12" customWidth="1"/>
    <col min="4" max="4" width="2.375" style="12" customWidth="1"/>
    <col min="5" max="5" width="6.75390625" style="12" customWidth="1"/>
    <col min="6" max="6" width="4.25390625" style="12" customWidth="1"/>
    <col min="7" max="7" width="4.375" style="12" customWidth="1"/>
    <col min="8" max="8" width="3.375" style="12" customWidth="1"/>
    <col min="9" max="9" width="5.375" style="12" customWidth="1"/>
    <col min="10" max="10" width="4.375" style="12" customWidth="1"/>
    <col min="11" max="12" width="5.125" style="12" customWidth="1"/>
    <col min="13" max="13" width="5.75390625" style="12" customWidth="1"/>
    <col min="14" max="14" width="4.875" style="12" customWidth="1"/>
    <col min="15" max="15" width="8.375" style="12" customWidth="1"/>
    <col min="16" max="16" width="5.375" style="12" customWidth="1"/>
    <col min="17" max="17" width="7.00390625" style="12" customWidth="1"/>
    <col min="18" max="18" width="4.875" style="12" customWidth="1"/>
    <col min="19" max="19" width="3.375" style="12" customWidth="1"/>
    <col min="20" max="20" width="2.125" style="12" customWidth="1"/>
    <col min="21" max="21" width="10.875" style="12" customWidth="1"/>
    <col min="22" max="22" width="0.875" style="12" customWidth="1"/>
    <col min="23" max="16384" width="11.375" style="12" customWidth="1"/>
  </cols>
  <sheetData>
    <row r="1" spans="1:22" s="536" customFormat="1" ht="15.75">
      <c r="A1" s="529"/>
      <c r="B1" s="530" t="s">
        <v>56</v>
      </c>
      <c r="C1" s="531"/>
      <c r="D1" s="530"/>
      <c r="E1" s="532"/>
      <c r="F1" s="532"/>
      <c r="G1" s="532"/>
      <c r="H1" s="532"/>
      <c r="I1" s="532"/>
      <c r="J1" s="532"/>
      <c r="K1" s="532"/>
      <c r="L1" s="533"/>
      <c r="M1" s="531"/>
      <c r="N1" s="534"/>
      <c r="O1" s="531"/>
      <c r="P1" s="531"/>
      <c r="Q1" s="531"/>
      <c r="R1" s="535" t="s">
        <v>179</v>
      </c>
      <c r="S1" s="770">
        <f ca="1">TODAY()</f>
        <v>37466</v>
      </c>
      <c r="T1" s="771"/>
      <c r="U1" s="771"/>
      <c r="V1" s="531"/>
    </row>
    <row r="2" spans="1:22" s="536" customFormat="1" ht="12.75">
      <c r="A2" s="529"/>
      <c r="B2" s="599" t="str">
        <f>IF('1-Reanim'!B6="","",'1-Reanim'!B6)</f>
        <v>Gonzalez Perez, RN</v>
      </c>
      <c r="C2" s="531"/>
      <c r="D2" s="537"/>
      <c r="E2" s="531"/>
      <c r="F2" s="531"/>
      <c r="G2" s="534"/>
      <c r="H2" s="534"/>
      <c r="I2" s="534"/>
      <c r="J2" s="534"/>
      <c r="K2" s="538" t="s">
        <v>123</v>
      </c>
      <c r="L2" s="774">
        <f>Paciente!H16</f>
        <v>0.74</v>
      </c>
      <c r="M2" s="750"/>
      <c r="N2" s="539" t="s">
        <v>124</v>
      </c>
      <c r="O2" s="531"/>
      <c r="P2" s="535" t="str">
        <f>IF('1-Reanim'!K6="","","Edad:")</f>
        <v>Edad:</v>
      </c>
      <c r="Q2" s="600">
        <f>IF('1-Reanim'!J6="","",'1-Reanim'!J6)</f>
        <v>674</v>
      </c>
      <c r="R2" s="534" t="str">
        <f>IF('1-Reanim'!K6="","","días de vida")</f>
        <v>días de vida</v>
      </c>
      <c r="S2" s="531"/>
      <c r="T2" s="531"/>
      <c r="U2" s="531"/>
      <c r="V2" s="531"/>
    </row>
    <row r="3" spans="1:22" ht="9" customHeight="1">
      <c r="A3" s="391"/>
      <c r="B3" s="171"/>
      <c r="C3" s="171"/>
      <c r="D3" s="171"/>
      <c r="E3" s="171"/>
      <c r="F3" s="171"/>
      <c r="G3" s="171"/>
      <c r="H3" s="171"/>
      <c r="I3" s="171"/>
      <c r="J3" s="171"/>
      <c r="K3" s="171"/>
      <c r="L3" s="171"/>
      <c r="M3" s="171"/>
      <c r="N3" s="171"/>
      <c r="O3" s="171"/>
      <c r="P3" s="171"/>
      <c r="Q3" s="602" t="str">
        <f>IF(Q2="","Introducir fecha nac. en formato 10/01/01",IF(Q2&lt;0,"¡¡Cuidado: error en la fecha!!",IF(Q2&lt;230,"",IF(Q2&gt;230,"¡¡Edad erronea para un NN !!",""))))</f>
        <v>¡¡Edad erronea para un NN !!</v>
      </c>
      <c r="R3" s="171"/>
      <c r="S3" s="171"/>
      <c r="T3" s="171"/>
      <c r="U3" s="171"/>
      <c r="V3" s="171"/>
    </row>
    <row r="4" spans="1:24" ht="12.75">
      <c r="A4" s="391"/>
      <c r="B4" s="622" t="s">
        <v>80</v>
      </c>
      <c r="C4" s="623"/>
      <c r="D4" s="623"/>
      <c r="E4" s="624"/>
      <c r="F4" s="624"/>
      <c r="G4" s="664" t="s">
        <v>118</v>
      </c>
      <c r="H4" s="623"/>
      <c r="I4" s="623"/>
      <c r="J4" s="623"/>
      <c r="K4" s="623"/>
      <c r="L4" s="628" t="s">
        <v>182</v>
      </c>
      <c r="M4" s="625"/>
      <c r="N4" s="625"/>
      <c r="O4" s="626"/>
      <c r="P4" s="627" t="s">
        <v>3</v>
      </c>
      <c r="Q4" s="628"/>
      <c r="R4" s="658" t="s">
        <v>183</v>
      </c>
      <c r="S4" s="629"/>
      <c r="T4" s="629"/>
      <c r="U4" s="660" t="s">
        <v>90</v>
      </c>
      <c r="V4" s="171"/>
      <c r="X4" s="20"/>
    </row>
    <row r="5" spans="1:22" s="20" customFormat="1" ht="4.5" customHeight="1">
      <c r="A5" s="390"/>
      <c r="B5" s="166"/>
      <c r="C5" s="166"/>
      <c r="D5" s="166"/>
      <c r="E5" s="166"/>
      <c r="F5" s="166"/>
      <c r="G5" s="166"/>
      <c r="H5" s="166"/>
      <c r="I5" s="166"/>
      <c r="J5" s="166"/>
      <c r="K5" s="166"/>
      <c r="L5" s="167"/>
      <c r="M5" s="167"/>
      <c r="N5" s="167"/>
      <c r="O5" s="166"/>
      <c r="P5" s="166"/>
      <c r="Q5" s="166"/>
      <c r="R5" s="168"/>
      <c r="S5" s="168"/>
      <c r="T5" s="168"/>
      <c r="U5" s="168"/>
      <c r="V5" s="168"/>
    </row>
    <row r="6" spans="1:22" s="536" customFormat="1" ht="12.75" customHeight="1">
      <c r="A6" s="529"/>
      <c r="B6" s="337" t="s">
        <v>213</v>
      </c>
      <c r="C6" s="540"/>
      <c r="D6" s="541"/>
      <c r="E6" s="173"/>
      <c r="F6" s="173"/>
      <c r="G6" s="175" t="s">
        <v>170</v>
      </c>
      <c r="H6" s="173"/>
      <c r="I6" s="173"/>
      <c r="J6" s="173"/>
      <c r="K6" s="173"/>
      <c r="L6" s="175" t="s">
        <v>185</v>
      </c>
      <c r="M6" s="175"/>
      <c r="N6" s="175"/>
      <c r="O6" s="176"/>
      <c r="P6" s="542">
        <f>1*L2</f>
        <v>0.74</v>
      </c>
      <c r="Q6" s="339" t="s">
        <v>198</v>
      </c>
      <c r="R6" s="543">
        <f>5*L2</f>
        <v>3.7</v>
      </c>
      <c r="S6" s="206" t="s">
        <v>199</v>
      </c>
      <c r="T6" s="544"/>
      <c r="U6" s="491" t="s">
        <v>171</v>
      </c>
      <c r="V6" s="168"/>
    </row>
    <row r="7" spans="1:22" s="20" customFormat="1" ht="13.5" customHeight="1">
      <c r="A7" s="390"/>
      <c r="B7" s="545" t="s">
        <v>129</v>
      </c>
      <c r="C7" s="545"/>
      <c r="D7" s="546"/>
      <c r="E7" s="177"/>
      <c r="F7" s="177"/>
      <c r="G7" s="179" t="s">
        <v>53</v>
      </c>
      <c r="H7" s="177"/>
      <c r="I7" s="177"/>
      <c r="J7" s="177"/>
      <c r="K7" s="177"/>
      <c r="L7" s="179"/>
      <c r="M7" s="179"/>
      <c r="N7" s="179"/>
      <c r="O7" s="181"/>
      <c r="P7" s="180"/>
      <c r="Q7" s="181"/>
      <c r="R7" s="180"/>
      <c r="S7" s="177"/>
      <c r="T7" s="181"/>
      <c r="U7" s="181"/>
      <c r="V7" s="168"/>
    </row>
    <row r="8" spans="1:22" s="20" customFormat="1" ht="3" customHeight="1">
      <c r="A8" s="390"/>
      <c r="B8" s="547"/>
      <c r="C8" s="547"/>
      <c r="D8" s="547"/>
      <c r="E8" s="168"/>
      <c r="F8" s="168"/>
      <c r="G8" s="169"/>
      <c r="H8" s="168"/>
      <c r="I8" s="168"/>
      <c r="J8" s="168"/>
      <c r="K8" s="168"/>
      <c r="L8" s="169"/>
      <c r="M8" s="169"/>
      <c r="N8" s="169"/>
      <c r="O8" s="667"/>
      <c r="P8" s="667"/>
      <c r="Q8" s="667"/>
      <c r="R8" s="667"/>
      <c r="S8" s="667"/>
      <c r="T8" s="667"/>
      <c r="U8" s="667"/>
      <c r="V8" s="168"/>
    </row>
    <row r="9" spans="1:22" s="20" customFormat="1" ht="13.5" customHeight="1">
      <c r="A9" s="390"/>
      <c r="B9" s="540" t="s">
        <v>240</v>
      </c>
      <c r="C9" s="540"/>
      <c r="D9" s="541"/>
      <c r="E9" s="173"/>
      <c r="F9" s="173"/>
      <c r="G9" s="175" t="s">
        <v>361</v>
      </c>
      <c r="H9" s="173"/>
      <c r="I9" s="173"/>
      <c r="J9" s="173"/>
      <c r="K9" s="173"/>
      <c r="L9" s="175"/>
      <c r="M9" s="175"/>
      <c r="N9" s="175"/>
      <c r="O9" s="173"/>
      <c r="P9" s="542">
        <f>10*L2/20</f>
        <v>0.37</v>
      </c>
      <c r="Q9" s="339" t="s">
        <v>198</v>
      </c>
      <c r="R9" s="742">
        <f>10*L2</f>
        <v>7.4</v>
      </c>
      <c r="S9" s="206" t="s">
        <v>199</v>
      </c>
      <c r="T9" s="544"/>
      <c r="U9" s="491" t="s">
        <v>359</v>
      </c>
      <c r="V9" s="171"/>
    </row>
    <row r="10" spans="1:22" s="20" customFormat="1" ht="13.5" customHeight="1">
      <c r="A10" s="390"/>
      <c r="B10" s="545"/>
      <c r="C10" s="177"/>
      <c r="D10" s="546"/>
      <c r="E10" s="177"/>
      <c r="F10" s="177"/>
      <c r="G10" s="179" t="s">
        <v>360</v>
      </c>
      <c r="H10" s="177"/>
      <c r="I10" s="177"/>
      <c r="J10" s="177"/>
      <c r="K10" s="177"/>
      <c r="L10" s="179"/>
      <c r="M10" s="179"/>
      <c r="N10" s="179"/>
      <c r="O10" s="177"/>
      <c r="P10" s="639">
        <f>5*L2/20</f>
        <v>0.185</v>
      </c>
      <c r="Q10" s="317" t="s">
        <v>198</v>
      </c>
      <c r="R10" s="574">
        <f>5*L2</f>
        <v>3.7</v>
      </c>
      <c r="S10" s="209" t="s">
        <v>199</v>
      </c>
      <c r="T10" s="181"/>
      <c r="U10" s="554" t="s">
        <v>14</v>
      </c>
      <c r="V10" s="171"/>
    </row>
    <row r="11" spans="1:22" s="20" customFormat="1" ht="3" customHeight="1">
      <c r="A11" s="390"/>
      <c r="B11" s="168"/>
      <c r="C11" s="168"/>
      <c r="D11" s="168"/>
      <c r="E11" s="168"/>
      <c r="F11" s="168"/>
      <c r="G11" s="168"/>
      <c r="H11" s="170"/>
      <c r="I11" s="168"/>
      <c r="J11" s="168"/>
      <c r="K11" s="168"/>
      <c r="L11" s="169"/>
      <c r="M11" s="169"/>
      <c r="N11" s="169"/>
      <c r="O11" s="168"/>
      <c r="P11" s="168"/>
      <c r="Q11" s="168"/>
      <c r="R11" s="168"/>
      <c r="S11" s="168"/>
      <c r="T11" s="168"/>
      <c r="U11" s="168"/>
      <c r="V11" s="168"/>
    </row>
    <row r="12" spans="1:22" s="20" customFormat="1" ht="13.5" customHeight="1">
      <c r="A12" s="390"/>
      <c r="B12" s="327" t="s">
        <v>350</v>
      </c>
      <c r="C12" s="327"/>
      <c r="D12" s="328"/>
      <c r="E12" s="226"/>
      <c r="F12" s="226"/>
      <c r="G12" s="228" t="s">
        <v>352</v>
      </c>
      <c r="H12" s="226"/>
      <c r="I12" s="226"/>
      <c r="J12" s="226"/>
      <c r="K12" s="226"/>
      <c r="L12" s="228"/>
      <c r="M12" s="228"/>
      <c r="N12" s="228"/>
      <c r="O12" s="226"/>
      <c r="P12" s="563">
        <f>0.5*L2/10</f>
        <v>0.037</v>
      </c>
      <c r="Q12" s="324" t="s">
        <v>198</v>
      </c>
      <c r="R12" s="739">
        <f>0.5*L2</f>
        <v>0.37</v>
      </c>
      <c r="S12" s="197" t="s">
        <v>199</v>
      </c>
      <c r="T12" s="198"/>
      <c r="U12" s="740" t="s">
        <v>351</v>
      </c>
      <c r="V12" s="171"/>
    </row>
    <row r="13" spans="1:22" s="20" customFormat="1" ht="3" customHeight="1">
      <c r="A13" s="390"/>
      <c r="B13" s="547"/>
      <c r="C13" s="547"/>
      <c r="D13" s="547"/>
      <c r="E13" s="168"/>
      <c r="F13" s="168"/>
      <c r="G13" s="169"/>
      <c r="H13" s="168"/>
      <c r="I13" s="168"/>
      <c r="J13" s="168"/>
      <c r="K13" s="168"/>
      <c r="L13" s="169"/>
      <c r="M13" s="169"/>
      <c r="N13" s="169"/>
      <c r="O13" s="168"/>
      <c r="P13" s="168"/>
      <c r="Q13" s="168"/>
      <c r="R13" s="168"/>
      <c r="S13" s="168"/>
      <c r="T13" s="168"/>
      <c r="U13" s="493"/>
      <c r="V13" s="168"/>
    </row>
    <row r="14" spans="1:22" ht="13.5" customHeight="1">
      <c r="A14" s="391"/>
      <c r="B14" s="540" t="s">
        <v>5</v>
      </c>
      <c r="C14" s="541"/>
      <c r="D14" s="173"/>
      <c r="E14" s="175"/>
      <c r="F14" s="175"/>
      <c r="G14" s="175"/>
      <c r="H14" s="173"/>
      <c r="I14" s="173"/>
      <c r="J14" s="173"/>
      <c r="K14" s="713" t="s">
        <v>353</v>
      </c>
      <c r="L14" s="175"/>
      <c r="M14" s="175"/>
      <c r="N14" s="175"/>
      <c r="O14" s="173"/>
      <c r="P14" s="173"/>
      <c r="Q14" s="548"/>
      <c r="R14" s="716"/>
      <c r="S14" s="206"/>
      <c r="T14" s="717"/>
      <c r="U14" s="549"/>
      <c r="V14" s="171"/>
    </row>
    <row r="15" spans="1:22" ht="13.5" customHeight="1">
      <c r="A15" s="391"/>
      <c r="B15" s="550"/>
      <c r="C15" s="726" t="s">
        <v>346</v>
      </c>
      <c r="D15" s="551" t="s">
        <v>242</v>
      </c>
      <c r="E15" s="182"/>
      <c r="F15" s="183"/>
      <c r="G15" s="183"/>
      <c r="H15" s="182"/>
      <c r="I15" s="182"/>
      <c r="J15" s="182"/>
      <c r="K15" s="182"/>
      <c r="L15" s="183"/>
      <c r="M15" s="183"/>
      <c r="N15" s="183"/>
      <c r="O15" s="182"/>
      <c r="P15" s="640">
        <f>0.2*L2</f>
        <v>0.148</v>
      </c>
      <c r="Q15" s="711" t="s">
        <v>198</v>
      </c>
      <c r="R15" s="731">
        <f>0.1*L2</f>
        <v>0.074</v>
      </c>
      <c r="S15" s="214" t="s">
        <v>199</v>
      </c>
      <c r="T15" s="712"/>
      <c r="U15" s="553" t="s">
        <v>200</v>
      </c>
      <c r="V15" s="171"/>
    </row>
    <row r="16" spans="1:22" ht="9.75" customHeight="1">
      <c r="A16" s="391"/>
      <c r="B16" s="550"/>
      <c r="C16" s="710"/>
      <c r="D16" s="183" t="s">
        <v>330</v>
      </c>
      <c r="E16" s="182"/>
      <c r="F16" s="183"/>
      <c r="G16" s="183"/>
      <c r="H16" s="182"/>
      <c r="I16" s="182"/>
      <c r="J16" s="182"/>
      <c r="K16" s="182"/>
      <c r="L16" s="183"/>
      <c r="M16" s="183"/>
      <c r="N16" s="183"/>
      <c r="O16" s="177"/>
      <c r="P16" s="180"/>
      <c r="Q16" s="181"/>
      <c r="R16" s="180"/>
      <c r="S16" s="177"/>
      <c r="T16" s="181"/>
      <c r="U16" s="492"/>
      <c r="V16" s="171"/>
    </row>
    <row r="17" spans="1:22" ht="12" customHeight="1">
      <c r="A17" s="391"/>
      <c r="B17" s="667"/>
      <c r="C17" s="714"/>
      <c r="D17" s="20"/>
      <c r="E17" s="182"/>
      <c r="F17" s="183" t="s">
        <v>339</v>
      </c>
      <c r="G17" s="20"/>
      <c r="H17" s="182"/>
      <c r="I17" s="182"/>
      <c r="J17" s="182"/>
      <c r="K17" s="182"/>
      <c r="L17" s="183"/>
      <c r="M17" s="183"/>
      <c r="N17" s="183"/>
      <c r="O17" s="666"/>
      <c r="P17" s="667"/>
      <c r="Q17" s="667"/>
      <c r="R17" s="667"/>
      <c r="S17" s="667"/>
      <c r="T17" s="667"/>
      <c r="U17" s="667"/>
      <c r="V17" s="171"/>
    </row>
    <row r="18" spans="1:22" ht="13.5" customHeight="1">
      <c r="A18" s="391"/>
      <c r="B18" s="184"/>
      <c r="C18" s="725" t="s">
        <v>347</v>
      </c>
      <c r="D18" s="551" t="s">
        <v>243</v>
      </c>
      <c r="E18" s="182"/>
      <c r="F18" s="182"/>
      <c r="G18" s="183"/>
      <c r="H18" s="183" t="s">
        <v>244</v>
      </c>
      <c r="I18" s="182"/>
      <c r="J18" s="182"/>
      <c r="K18" s="182"/>
      <c r="L18" s="183" t="s">
        <v>245</v>
      </c>
      <c r="M18" s="183"/>
      <c r="N18" s="183"/>
      <c r="O18" s="182"/>
      <c r="P18" s="640">
        <f>0.4*L2</f>
        <v>0.296</v>
      </c>
      <c r="Q18" s="552" t="s">
        <v>198</v>
      </c>
      <c r="R18" s="732">
        <f>0.2*L2</f>
        <v>0.148</v>
      </c>
      <c r="S18" s="100" t="s">
        <v>199</v>
      </c>
      <c r="T18" s="552"/>
      <c r="U18" s="553" t="s">
        <v>164</v>
      </c>
      <c r="V18" s="171"/>
    </row>
    <row r="19" spans="1:22" ht="13.5" customHeight="1">
      <c r="A19" s="391"/>
      <c r="B19" s="184"/>
      <c r="C19" s="182"/>
      <c r="D19" s="182"/>
      <c r="E19" s="182"/>
      <c r="F19" s="182"/>
      <c r="G19" s="182"/>
      <c r="H19" s="183" t="s">
        <v>246</v>
      </c>
      <c r="I19" s="182"/>
      <c r="J19" s="182"/>
      <c r="K19" s="182"/>
      <c r="L19" s="183" t="s">
        <v>245</v>
      </c>
      <c r="M19" s="183"/>
      <c r="N19" s="183"/>
      <c r="O19" s="182"/>
      <c r="P19" s="640">
        <f>IF(Q2&lt;2,0.2*L2,IF(Q2&lt;=7,0.4*L2,0.5*L2))</f>
        <v>0.37</v>
      </c>
      <c r="Q19" s="552" t="s">
        <v>198</v>
      </c>
      <c r="R19" s="732">
        <f>IF(Q2&lt;2,L2*0.1,IF(Q2&lt;=7,L2*0.2,L2*0.25))</f>
        <v>0.185</v>
      </c>
      <c r="S19" s="100" t="s">
        <v>199</v>
      </c>
      <c r="T19" s="552"/>
      <c r="U19" s="553" t="str">
        <f>IF(Q2&lt;2,"0,1 mg/kg",IF(Q2&lt;=7,"0,2 mg/kg","0,25 mg/kg"))</f>
        <v>0,25 mg/kg</v>
      </c>
      <c r="V19" s="171"/>
    </row>
    <row r="20" spans="1:22" ht="13.5" customHeight="1">
      <c r="A20" s="391"/>
      <c r="B20" s="184"/>
      <c r="C20" s="182"/>
      <c r="D20" s="182"/>
      <c r="E20" s="182"/>
      <c r="F20" s="182"/>
      <c r="G20" s="182"/>
      <c r="H20" s="183" t="s">
        <v>247</v>
      </c>
      <c r="I20" s="182"/>
      <c r="J20" s="182"/>
      <c r="K20" s="182"/>
      <c r="L20" s="183" t="s">
        <v>245</v>
      </c>
      <c r="M20" s="183"/>
      <c r="N20" s="183"/>
      <c r="O20" s="182"/>
      <c r="P20" s="640">
        <f>IF(Q2&lt;2,0.2*L2,IF(Q2&lt;=7,0.4*L2,0.5*L2))</f>
        <v>0.37</v>
      </c>
      <c r="Q20" s="552" t="s">
        <v>198</v>
      </c>
      <c r="R20" s="732">
        <f>IF(Q2&lt;2,L2*0.1,IF(Q2&lt;=7,L2*0.2,L2*0.25))</f>
        <v>0.185</v>
      </c>
      <c r="S20" s="100" t="s">
        <v>199</v>
      </c>
      <c r="T20" s="552"/>
      <c r="U20" s="553" t="str">
        <f>IF(Q2&lt;2,"0,1 mg/kg",IF(Q2&lt;=7,"0,2 mg/kg","0,25 mg/kg"))</f>
        <v>0,25 mg/kg</v>
      </c>
      <c r="V20" s="171"/>
    </row>
    <row r="21" spans="1:22" s="20" customFormat="1" ht="5.25" customHeight="1">
      <c r="A21" s="390"/>
      <c r="B21" s="180"/>
      <c r="C21" s="177"/>
      <c r="D21" s="177"/>
      <c r="E21" s="177"/>
      <c r="F21" s="177"/>
      <c r="G21" s="177"/>
      <c r="H21" s="177"/>
      <c r="I21" s="177"/>
      <c r="J21" s="177"/>
      <c r="K21" s="177"/>
      <c r="L21" s="179"/>
      <c r="M21" s="179"/>
      <c r="N21" s="179"/>
      <c r="O21" s="177"/>
      <c r="P21" s="180"/>
      <c r="Q21" s="181"/>
      <c r="R21" s="177"/>
      <c r="S21" s="177"/>
      <c r="T21" s="177"/>
      <c r="U21" s="719"/>
      <c r="V21" s="168"/>
    </row>
    <row r="22" spans="1:22" s="20" customFormat="1" ht="8.25" customHeight="1">
      <c r="A22" s="390"/>
      <c r="B22" s="168"/>
      <c r="C22" s="168"/>
      <c r="D22" s="168"/>
      <c r="E22" s="168"/>
      <c r="F22" s="168"/>
      <c r="G22" s="168"/>
      <c r="H22" s="170"/>
      <c r="I22" s="168"/>
      <c r="J22" s="168"/>
      <c r="K22" s="168"/>
      <c r="L22" s="169"/>
      <c r="M22" s="169"/>
      <c r="N22" s="169"/>
      <c r="O22" s="168"/>
      <c r="P22" s="168"/>
      <c r="Q22" s="168"/>
      <c r="R22" s="168"/>
      <c r="S22" s="168"/>
      <c r="T22" s="168"/>
      <c r="U22" s="168"/>
      <c r="V22" s="168"/>
    </row>
    <row r="23" spans="1:22" s="20" customFormat="1" ht="6" customHeight="1">
      <c r="A23" s="390"/>
      <c r="B23" s="168"/>
      <c r="C23" s="609" t="s">
        <v>184</v>
      </c>
      <c r="D23" s="168"/>
      <c r="E23" s="168"/>
      <c r="F23" s="168"/>
      <c r="G23" s="168"/>
      <c r="H23" s="168"/>
      <c r="I23" s="168"/>
      <c r="J23" s="168"/>
      <c r="K23" s="168"/>
      <c r="L23" s="169"/>
      <c r="M23" s="169"/>
      <c r="N23" s="169"/>
      <c r="O23" s="168"/>
      <c r="P23" s="168"/>
      <c r="Q23" s="168"/>
      <c r="R23" s="168"/>
      <c r="S23" s="168"/>
      <c r="T23" s="168"/>
      <c r="U23" s="168"/>
      <c r="V23" s="168"/>
    </row>
    <row r="24" spans="1:22" s="736" customFormat="1" ht="4.5" customHeight="1">
      <c r="A24" s="733"/>
      <c r="B24" s="734"/>
      <c r="C24" s="734"/>
      <c r="D24" s="734"/>
      <c r="E24" s="734"/>
      <c r="F24" s="734"/>
      <c r="G24" s="734"/>
      <c r="H24" s="734"/>
      <c r="I24" s="734"/>
      <c r="J24" s="734"/>
      <c r="K24" s="734"/>
      <c r="L24" s="735"/>
      <c r="M24" s="735"/>
      <c r="N24" s="735"/>
      <c r="O24" s="734"/>
      <c r="P24" s="734"/>
      <c r="Q24" s="734"/>
      <c r="R24" s="734"/>
      <c r="S24" s="734"/>
      <c r="T24" s="734"/>
      <c r="U24" s="734"/>
      <c r="V24" s="734"/>
    </row>
    <row r="25" spans="1:22" s="20" customFormat="1" ht="13.5" customHeight="1">
      <c r="A25" s="390"/>
      <c r="B25" s="670" t="s">
        <v>7</v>
      </c>
      <c r="C25" s="630"/>
      <c r="D25" s="630"/>
      <c r="E25" s="630"/>
      <c r="F25" s="630"/>
      <c r="G25" s="631"/>
      <c r="H25" s="632"/>
      <c r="I25" s="632"/>
      <c r="J25" s="632"/>
      <c r="K25" s="632"/>
      <c r="L25" s="636" t="s">
        <v>8</v>
      </c>
      <c r="M25" s="633"/>
      <c r="N25" s="633"/>
      <c r="O25" s="634"/>
      <c r="P25" s="635" t="s">
        <v>120</v>
      </c>
      <c r="Q25" s="636"/>
      <c r="R25" s="637" t="s">
        <v>183</v>
      </c>
      <c r="S25" s="638"/>
      <c r="T25" s="638"/>
      <c r="U25" s="668" t="s">
        <v>6</v>
      </c>
      <c r="V25" s="168"/>
    </row>
    <row r="26" spans="1:22" ht="13.5" customHeight="1">
      <c r="A26" s="391"/>
      <c r="B26" s="718" t="s">
        <v>340</v>
      </c>
      <c r="C26" s="186"/>
      <c r="D26" s="187"/>
      <c r="E26" s="163"/>
      <c r="F26" s="163"/>
      <c r="G26" s="182"/>
      <c r="H26" s="182"/>
      <c r="I26" s="182"/>
      <c r="J26" s="182"/>
      <c r="K26" s="191"/>
      <c r="L26" s="214"/>
      <c r="M26" s="715" t="s">
        <v>341</v>
      </c>
      <c r="N26" s="182"/>
      <c r="O26" s="182"/>
      <c r="P26" s="173"/>
      <c r="Q26" s="182"/>
      <c r="R26" s="173"/>
      <c r="S26" s="163"/>
      <c r="T26" s="163"/>
      <c r="U26" s="555" t="s">
        <v>9</v>
      </c>
      <c r="V26" s="168"/>
    </row>
    <row r="27" spans="1:22" ht="3" customHeight="1">
      <c r="A27" s="391"/>
      <c r="B27" s="188"/>
      <c r="C27" s="187"/>
      <c r="D27" s="187"/>
      <c r="E27" s="163"/>
      <c r="F27" s="163"/>
      <c r="G27" s="182"/>
      <c r="H27" s="182"/>
      <c r="I27" s="182"/>
      <c r="J27" s="182"/>
      <c r="K27" s="182"/>
      <c r="L27" s="214"/>
      <c r="M27" s="182"/>
      <c r="N27" s="182"/>
      <c r="O27" s="163"/>
      <c r="P27" s="163"/>
      <c r="Q27" s="163"/>
      <c r="R27" s="163"/>
      <c r="S27" s="163"/>
      <c r="T27" s="163"/>
      <c r="U27" s="189"/>
      <c r="V27" s="168"/>
    </row>
    <row r="28" spans="1:22" ht="10.5" customHeight="1">
      <c r="A28" s="391"/>
      <c r="B28" s="487" t="s">
        <v>79</v>
      </c>
      <c r="C28" s="164"/>
      <c r="D28" s="164"/>
      <c r="E28" s="556"/>
      <c r="F28" s="556"/>
      <c r="G28" s="161"/>
      <c r="H28" s="161"/>
      <c r="I28" s="161"/>
      <c r="J28" s="161"/>
      <c r="K28" s="161"/>
      <c r="L28" s="162"/>
      <c r="M28" s="162"/>
      <c r="N28" s="162"/>
      <c r="O28" s="191"/>
      <c r="P28" s="163"/>
      <c r="Q28" s="163"/>
      <c r="R28" s="163"/>
      <c r="S28" s="163"/>
      <c r="T28" s="163"/>
      <c r="U28" s="669" t="str">
        <f>IF(H29=1,"15 mcg/kg ",IF(H29=2,"20 mcg/Kg ",IF(H29=3,"30 mcg/kg ",IF(H29=4,"40 mcg/kg ",""))))</f>
        <v>15 mcg/kg </v>
      </c>
      <c r="V28" s="168"/>
    </row>
    <row r="29" spans="1:22" ht="13.5" customHeight="1">
      <c r="A29" s="391"/>
      <c r="B29" s="190"/>
      <c r="C29" s="165" t="s">
        <v>348</v>
      </c>
      <c r="D29" s="557"/>
      <c r="E29" s="192"/>
      <c r="F29" s="192"/>
      <c r="G29" s="607" t="s">
        <v>278</v>
      </c>
      <c r="H29" s="610">
        <v>1</v>
      </c>
      <c r="L29" s="558"/>
      <c r="M29" s="558"/>
      <c r="N29" s="214"/>
      <c r="O29" s="163"/>
      <c r="P29" s="163"/>
      <c r="Q29" s="163"/>
      <c r="R29" s="163"/>
      <c r="S29" s="163"/>
      <c r="T29" s="163"/>
      <c r="U29" s="189"/>
      <c r="V29" s="168"/>
    </row>
    <row r="30" spans="1:22" ht="13.5" customHeight="1">
      <c r="A30" s="391"/>
      <c r="B30" s="190"/>
      <c r="C30" s="494" t="s">
        <v>236</v>
      </c>
      <c r="D30" s="163"/>
      <c r="E30" s="558"/>
      <c r="F30" s="558"/>
      <c r="G30" s="559" t="s">
        <v>241</v>
      </c>
      <c r="K30" s="193" t="s">
        <v>130</v>
      </c>
      <c r="L30" s="195"/>
      <c r="M30" s="194"/>
      <c r="N30" s="195"/>
      <c r="O30" s="196"/>
      <c r="P30" s="563">
        <f>R30/25</f>
        <v>0.222</v>
      </c>
      <c r="Q30" s="561" t="s">
        <v>186</v>
      </c>
      <c r="R30" s="564">
        <f>IF(H29=1,L2*(15/2),IF(H29=2,L2*(20/2),IF(H29=3,L2*(30/2),IF(H29=4,L2*(40/2),""))))</f>
        <v>5.55</v>
      </c>
      <c r="S30" s="197" t="s">
        <v>160</v>
      </c>
      <c r="T30" s="198"/>
      <c r="U30" s="199"/>
      <c r="V30" s="168"/>
    </row>
    <row r="31" spans="1:22" ht="13.5" customHeight="1">
      <c r="A31" s="391"/>
      <c r="B31" s="190"/>
      <c r="C31" s="494" t="s">
        <v>188</v>
      </c>
      <c r="D31" s="163"/>
      <c r="E31" s="182"/>
      <c r="F31" s="558" t="str">
        <f>IF(H29=1,"para &lt; 30 sem EPM",IF(H29=2,"para 30-36 sem EPM",IF(H29=3,"para 37-48 sem EPM",IF(H29=4,"para &gt; 48 sem EPM",""))))</f>
        <v>para &lt; 30 sem EPM</v>
      </c>
      <c r="G31" s="200"/>
      <c r="H31" s="201"/>
      <c r="I31" s="182"/>
      <c r="J31" s="182"/>
      <c r="K31" s="193" t="s">
        <v>214</v>
      </c>
      <c r="L31" s="195"/>
      <c r="M31" s="194"/>
      <c r="N31" s="195"/>
      <c r="O31" s="196"/>
      <c r="P31" s="563">
        <f>P30/2</f>
        <v>0.111</v>
      </c>
      <c r="Q31" s="561" t="s">
        <v>186</v>
      </c>
      <c r="R31" s="564">
        <f>R30/2</f>
        <v>2.775</v>
      </c>
      <c r="S31" s="197" t="s">
        <v>160</v>
      </c>
      <c r="T31" s="198"/>
      <c r="U31" s="199"/>
      <c r="V31" s="168"/>
    </row>
    <row r="32" spans="1:22" s="20" customFormat="1" ht="13.5" customHeight="1">
      <c r="A32" s="390"/>
      <c r="B32" s="190"/>
      <c r="C32" s="494" t="s">
        <v>326</v>
      </c>
      <c r="D32" s="163"/>
      <c r="E32" s="182"/>
      <c r="F32" s="182"/>
      <c r="G32" s="192"/>
      <c r="H32" s="202"/>
      <c r="I32" s="182"/>
      <c r="J32" s="182"/>
      <c r="K32" s="193" t="s">
        <v>215</v>
      </c>
      <c r="L32" s="195"/>
      <c r="M32" s="194"/>
      <c r="N32" s="195"/>
      <c r="O32" s="196"/>
      <c r="P32" s="563">
        <f>P30/2</f>
        <v>0.111</v>
      </c>
      <c r="Q32" s="561" t="s">
        <v>186</v>
      </c>
      <c r="R32" s="564">
        <f>R30/2</f>
        <v>2.775</v>
      </c>
      <c r="S32" s="197" t="s">
        <v>160</v>
      </c>
      <c r="T32" s="198"/>
      <c r="U32" s="199"/>
      <c r="V32" s="168"/>
    </row>
    <row r="33" spans="1:22" s="20" customFormat="1" ht="13.5" customHeight="1">
      <c r="A33" s="390"/>
      <c r="B33" s="190"/>
      <c r="C33" s="494" t="s">
        <v>235</v>
      </c>
      <c r="D33" s="163"/>
      <c r="E33" s="182"/>
      <c r="F33" s="182"/>
      <c r="G33" s="203" t="str">
        <f>IF(H29=1,"15 mcg/kg",IF(H29=2,"20 mcg/kg",IF(H29=3,"30 mcg/kg",IF(H29=4,"40 mcg/kg",""))))</f>
        <v>15 mcg/kg</v>
      </c>
      <c r="H33" s="202"/>
      <c r="I33" s="202"/>
      <c r="J33" s="202"/>
      <c r="K33" s="202"/>
      <c r="L33" s="202"/>
      <c r="M33" s="202"/>
      <c r="N33" s="202"/>
      <c r="O33" s="202"/>
      <c r="P33" s="202"/>
      <c r="Q33" s="202"/>
      <c r="R33" s="202"/>
      <c r="S33" s="202"/>
      <c r="T33" s="202"/>
      <c r="U33" s="204"/>
      <c r="V33" s="168"/>
    </row>
    <row r="34" spans="1:22" s="20" customFormat="1" ht="13.5" customHeight="1">
      <c r="A34" s="390"/>
      <c r="B34" s="190"/>
      <c r="C34" s="163"/>
      <c r="D34" s="163"/>
      <c r="E34" s="182"/>
      <c r="G34" s="182"/>
      <c r="H34" s="202"/>
      <c r="I34" s="163"/>
      <c r="J34" s="163"/>
      <c r="K34" s="562" t="s">
        <v>11</v>
      </c>
      <c r="L34" s="195"/>
      <c r="M34" s="195"/>
      <c r="N34" s="195"/>
      <c r="O34" s="196"/>
      <c r="P34" s="563">
        <f>P30/4</f>
        <v>0.0555</v>
      </c>
      <c r="Q34" s="561" t="s">
        <v>186</v>
      </c>
      <c r="R34" s="564">
        <f>R30/4</f>
        <v>1.3875</v>
      </c>
      <c r="S34" s="197" t="s">
        <v>160</v>
      </c>
      <c r="T34" s="198"/>
      <c r="U34" s="199"/>
      <c r="V34" s="168"/>
    </row>
    <row r="35" spans="1:22" s="20" customFormat="1" ht="3" customHeight="1">
      <c r="A35" s="390"/>
      <c r="B35" s="190"/>
      <c r="C35" s="163"/>
      <c r="D35" s="163"/>
      <c r="E35" s="182"/>
      <c r="F35" s="182"/>
      <c r="G35" s="182"/>
      <c r="H35" s="202"/>
      <c r="I35" s="163"/>
      <c r="J35" s="163"/>
      <c r="K35" s="163"/>
      <c r="L35" s="565"/>
      <c r="M35" s="566"/>
      <c r="N35" s="210"/>
      <c r="O35" s="211"/>
      <c r="P35" s="212"/>
      <c r="R35" s="213"/>
      <c r="S35" s="214"/>
      <c r="T35" s="214"/>
      <c r="U35" s="199"/>
      <c r="V35" s="168"/>
    </row>
    <row r="36" spans="1:22" s="20" customFormat="1" ht="9" customHeight="1">
      <c r="A36" s="390"/>
      <c r="B36" s="190"/>
      <c r="C36" s="645"/>
      <c r="D36" s="163"/>
      <c r="E36" s="182"/>
      <c r="F36" s="182"/>
      <c r="G36" s="182"/>
      <c r="H36" s="202"/>
      <c r="I36" s="163"/>
      <c r="J36" s="163"/>
      <c r="K36" s="163"/>
      <c r="L36" s="565"/>
      <c r="M36" s="566"/>
      <c r="N36" s="210"/>
      <c r="O36" s="211"/>
      <c r="P36" s="212"/>
      <c r="Q36" s="567" t="s">
        <v>187</v>
      </c>
      <c r="R36" s="213"/>
      <c r="S36" s="214"/>
      <c r="T36" s="214"/>
      <c r="U36" s="199"/>
      <c r="V36" s="168"/>
    </row>
    <row r="37" spans="1:22" s="20" customFormat="1" ht="3.75" customHeight="1">
      <c r="A37" s="390"/>
      <c r="B37" s="215"/>
      <c r="C37" s="216"/>
      <c r="D37" s="216"/>
      <c r="E37" s="568"/>
      <c r="F37" s="568"/>
      <c r="G37" s="568"/>
      <c r="H37" s="217"/>
      <c r="I37" s="216"/>
      <c r="J37" s="216"/>
      <c r="K37" s="216"/>
      <c r="L37" s="218"/>
      <c r="M37" s="569"/>
      <c r="N37" s="219"/>
      <c r="O37" s="220"/>
      <c r="P37" s="221"/>
      <c r="Q37" s="223"/>
      <c r="R37" s="222"/>
      <c r="S37" s="223"/>
      <c r="T37" s="223"/>
      <c r="U37" s="224"/>
      <c r="V37" s="168"/>
    </row>
    <row r="38" spans="1:22" s="20" customFormat="1" ht="6" customHeight="1">
      <c r="A38" s="390"/>
      <c r="B38" s="168"/>
      <c r="C38" s="171"/>
      <c r="D38" s="171"/>
      <c r="E38" s="171"/>
      <c r="F38" s="171"/>
      <c r="G38" s="171"/>
      <c r="H38" s="171"/>
      <c r="I38" s="171"/>
      <c r="J38" s="171"/>
      <c r="K38" s="171"/>
      <c r="L38" s="172"/>
      <c r="M38" s="172"/>
      <c r="N38" s="172"/>
      <c r="O38" s="171"/>
      <c r="P38" s="171"/>
      <c r="Q38" s="171"/>
      <c r="R38" s="171"/>
      <c r="S38" s="171"/>
      <c r="T38" s="171"/>
      <c r="U38" s="171"/>
      <c r="V38" s="171"/>
    </row>
    <row r="39" spans="1:22" s="738" customFormat="1" ht="12.75">
      <c r="A39" s="608"/>
      <c r="B39" s="608"/>
      <c r="C39" s="608" t="s">
        <v>278</v>
      </c>
      <c r="D39" s="608"/>
      <c r="E39" s="608" t="str">
        <f>IF(L2&lt;2,"pa",IF(L2&gt;9,"","pb"))</f>
        <v>pa</v>
      </c>
      <c r="F39" s="608" t="str">
        <f>IF(Q2="","?",IF(Q2&lt;0,"",IF(Q2&lt;7,"da","db")))</f>
        <v>db</v>
      </c>
      <c r="G39" s="608" t="str">
        <f>IF(F39="?","?",IF(Q2&lt;0,"",IF(E39="pa",IF(F39="da","1","2"),IF(E39="pb",IF(F39="da","3","4")))))</f>
        <v>2</v>
      </c>
      <c r="H39" s="608"/>
      <c r="I39" s="608" t="s">
        <v>232</v>
      </c>
      <c r="J39" s="608"/>
      <c r="K39" s="608"/>
      <c r="L39" s="608"/>
      <c r="M39" s="608"/>
      <c r="N39" s="608"/>
      <c r="O39" s="608"/>
      <c r="P39" s="608"/>
      <c r="Q39" s="608"/>
      <c r="R39" s="608"/>
      <c r="S39" s="608"/>
      <c r="T39" s="608"/>
      <c r="U39" s="608"/>
      <c r="V39" s="737"/>
    </row>
    <row r="40" spans="1:22" ht="7.5" customHeight="1">
      <c r="A40" s="391"/>
      <c r="B40" s="759" t="s">
        <v>42</v>
      </c>
      <c r="C40" s="760"/>
      <c r="D40" s="760"/>
      <c r="E40" s="763" t="s">
        <v>354</v>
      </c>
      <c r="F40" s="764"/>
      <c r="G40" s="766" t="s">
        <v>127</v>
      </c>
      <c r="H40" s="767"/>
      <c r="I40" s="769" t="s">
        <v>2</v>
      </c>
      <c r="J40" s="760"/>
      <c r="K40" s="760"/>
      <c r="L40" s="760"/>
      <c r="M40" s="760"/>
      <c r="N40" s="760"/>
      <c r="O40" s="720"/>
      <c r="P40" s="720"/>
      <c r="Q40" s="720"/>
      <c r="R40" s="722"/>
      <c r="S40" s="723" t="s">
        <v>342</v>
      </c>
      <c r="T40" s="780" t="s">
        <v>90</v>
      </c>
      <c r="U40" s="781"/>
      <c r="V40" s="171"/>
    </row>
    <row r="41" spans="1:22" ht="7.5" customHeight="1">
      <c r="A41" s="391"/>
      <c r="B41" s="761"/>
      <c r="C41" s="762"/>
      <c r="D41" s="762"/>
      <c r="E41" s="765"/>
      <c r="F41" s="765"/>
      <c r="G41" s="768"/>
      <c r="H41" s="768"/>
      <c r="I41" s="762"/>
      <c r="J41" s="762"/>
      <c r="K41" s="762"/>
      <c r="L41" s="762"/>
      <c r="M41" s="762"/>
      <c r="N41" s="762"/>
      <c r="O41" s="721"/>
      <c r="P41" s="721"/>
      <c r="Q41" s="721"/>
      <c r="R41" s="724" t="s">
        <v>343</v>
      </c>
      <c r="S41" s="724"/>
      <c r="T41" s="762"/>
      <c r="U41" s="782"/>
      <c r="V41" s="171"/>
    </row>
    <row r="42" spans="1:22" ht="12.75">
      <c r="A42" s="391"/>
      <c r="B42" s="225" t="s">
        <v>131</v>
      </c>
      <c r="C42" s="226"/>
      <c r="D42" s="226"/>
      <c r="E42" s="570">
        <f>25*L2</f>
        <v>18.5</v>
      </c>
      <c r="F42" s="501" t="s">
        <v>199</v>
      </c>
      <c r="G42" s="523" t="str">
        <f>IF(G39="","",IF(G39="1","/  12 hr",IF(G39="2","/  8 hr",IF(G39="3","/  8 hr",IF(G39="4","/ 6 hr","¿edad?")))))</f>
        <v>/  8 hr</v>
      </c>
      <c r="H42" s="500"/>
      <c r="I42" s="228" t="s">
        <v>147</v>
      </c>
      <c r="J42" s="228"/>
      <c r="K42" s="228"/>
      <c r="L42" s="228"/>
      <c r="M42" s="228"/>
      <c r="N42" s="228"/>
      <c r="O42" s="228"/>
      <c r="P42" s="228"/>
      <c r="Q42" s="228"/>
      <c r="R42" s="642"/>
      <c r="S42" s="643" t="s">
        <v>208</v>
      </c>
      <c r="T42" s="228"/>
      <c r="U42" s="230" t="s">
        <v>230</v>
      </c>
      <c r="V42" s="171"/>
    </row>
    <row r="43" spans="1:22" ht="12.75">
      <c r="A43" s="391"/>
      <c r="B43" s="225" t="s">
        <v>279</v>
      </c>
      <c r="C43" s="226"/>
      <c r="D43" s="226"/>
      <c r="E43" s="601">
        <f>25000*L2</f>
        <v>18500</v>
      </c>
      <c r="F43" s="501" t="s">
        <v>145</v>
      </c>
      <c r="G43" s="523" t="str">
        <f>IF(G39="","",IF(G39="1","/  12 hr",IF(G39="2","/  8 hr",IF(G39="3","/  8 hr",IF(G39&gt;="4","/ 6 hr","¿edad?")))))</f>
        <v>/  8 hr</v>
      </c>
      <c r="H43" s="500"/>
      <c r="I43" s="228" t="s">
        <v>146</v>
      </c>
      <c r="J43" s="228"/>
      <c r="K43" s="228"/>
      <c r="L43" s="228"/>
      <c r="M43" s="228"/>
      <c r="N43" s="228"/>
      <c r="O43" s="228"/>
      <c r="P43" s="228"/>
      <c r="Q43" s="228"/>
      <c r="R43" s="642"/>
      <c r="S43" s="643" t="s">
        <v>208</v>
      </c>
      <c r="T43" s="228"/>
      <c r="U43" s="230" t="s">
        <v>229</v>
      </c>
      <c r="V43" s="171"/>
    </row>
    <row r="44" spans="1:22" ht="12.75">
      <c r="A44" s="391"/>
      <c r="B44" s="225" t="s">
        <v>280</v>
      </c>
      <c r="C44" s="226"/>
      <c r="D44" s="226"/>
      <c r="E44" s="527">
        <f>25*L2</f>
        <v>18.5</v>
      </c>
      <c r="F44" s="501" t="s">
        <v>199</v>
      </c>
      <c r="G44" s="523" t="str">
        <f>IF(G39&lt;"0,5","¿edad?",IF(G39="1","/  12 hr",IF(G39="2","/  8 hr",IF(G39="3","/  8 hr",IF(G39&gt;="4","/ 6 hr","**")))))</f>
        <v>/  8 hr</v>
      </c>
      <c r="H44" s="500"/>
      <c r="I44" s="228" t="s">
        <v>146</v>
      </c>
      <c r="J44" s="228"/>
      <c r="K44" s="228"/>
      <c r="L44" s="228"/>
      <c r="M44" s="228"/>
      <c r="N44" s="228"/>
      <c r="O44" s="228"/>
      <c r="P44" s="228"/>
      <c r="Q44" s="228"/>
      <c r="R44" s="642"/>
      <c r="S44" s="643"/>
      <c r="T44" s="228"/>
      <c r="U44" s="230" t="s">
        <v>230</v>
      </c>
      <c r="V44" s="171"/>
    </row>
    <row r="45" spans="1:22" ht="12.75">
      <c r="A45" s="391"/>
      <c r="B45" s="225" t="s">
        <v>281</v>
      </c>
      <c r="C45" s="226"/>
      <c r="D45" s="226"/>
      <c r="E45" s="527">
        <f>75*L2</f>
        <v>55.5</v>
      </c>
      <c r="F45" s="501" t="s">
        <v>199</v>
      </c>
      <c r="G45" s="523" t="str">
        <f>IF(G39&lt;"0,5","¿edad?",IF(G39="1","/  12 hr",IF(G39="2","/  8 hr",IF(G39="3","/  8 hr",IF(G39&gt;="4","/ 6 hr","**")))))</f>
        <v>/  8 hr</v>
      </c>
      <c r="H45" s="500"/>
      <c r="I45" s="228"/>
      <c r="J45" s="228"/>
      <c r="K45" s="228"/>
      <c r="L45" s="228"/>
      <c r="M45" s="228"/>
      <c r="N45" s="228"/>
      <c r="O45" s="228"/>
      <c r="P45" s="228"/>
      <c r="Q45" s="228"/>
      <c r="R45" s="642"/>
      <c r="S45" s="643" t="s">
        <v>208</v>
      </c>
      <c r="T45" s="228"/>
      <c r="U45" s="230" t="s">
        <v>231</v>
      </c>
      <c r="V45" s="171"/>
    </row>
    <row r="46" spans="1:22" ht="12.75">
      <c r="A46" s="391"/>
      <c r="B46" s="225" t="s">
        <v>282</v>
      </c>
      <c r="C46" s="226"/>
      <c r="D46" s="226"/>
      <c r="E46" s="527">
        <f>50*L2</f>
        <v>37</v>
      </c>
      <c r="F46" s="501" t="s">
        <v>199</v>
      </c>
      <c r="G46" s="523" t="str">
        <f>IF(G39&lt;"0,5","¿edad?",IF(G39="1","/  12 hr",IF(G39="2","/  8 hr",IF(G39="3","/  8 hr",IF(G39&gt;="4","/ 6 hr","**")))))</f>
        <v>/  8 hr</v>
      </c>
      <c r="H46" s="500"/>
      <c r="I46" s="228" t="s">
        <v>148</v>
      </c>
      <c r="J46" s="228"/>
      <c r="K46" s="228"/>
      <c r="L46" s="228"/>
      <c r="M46" s="228"/>
      <c r="N46" s="228"/>
      <c r="O46" s="228"/>
      <c r="P46" s="228"/>
      <c r="Q46" s="228"/>
      <c r="R46" s="642"/>
      <c r="S46" s="643" t="s">
        <v>208</v>
      </c>
      <c r="T46" s="228"/>
      <c r="U46" s="230" t="s">
        <v>151</v>
      </c>
      <c r="V46" s="171"/>
    </row>
    <row r="47" spans="1:22" ht="6" customHeight="1">
      <c r="A47" s="391"/>
      <c r="B47" s="496"/>
      <c r="C47" s="496"/>
      <c r="D47" s="528"/>
      <c r="E47" s="528"/>
      <c r="F47" s="502"/>
      <c r="G47" s="497"/>
      <c r="H47" s="498"/>
      <c r="I47" s="496"/>
      <c r="J47" s="496"/>
      <c r="K47" s="496"/>
      <c r="L47" s="496"/>
      <c r="M47" s="496"/>
      <c r="N47" s="496"/>
      <c r="O47" s="496"/>
      <c r="P47" s="496"/>
      <c r="Q47" s="496"/>
      <c r="R47" s="499"/>
      <c r="S47" s="644"/>
      <c r="T47" s="499"/>
      <c r="U47" s="496"/>
      <c r="V47" s="171"/>
    </row>
    <row r="48" spans="1:22" ht="12.75">
      <c r="A48" s="391"/>
      <c r="B48" s="225" t="s">
        <v>283</v>
      </c>
      <c r="C48" s="226"/>
      <c r="D48" s="226"/>
      <c r="E48" s="527">
        <f>30*L2</f>
        <v>22.2</v>
      </c>
      <c r="F48" s="501" t="s">
        <v>199</v>
      </c>
      <c r="G48" s="523" t="str">
        <f>IF(G39&lt;"0,5","¿edad?",IF(G39="1","/  12 hr",IF(G39="2","/  8 hr",IF(G39="3","/  8 hr",IF(G39&gt;="4","/ 6 hr","**")))))</f>
        <v>/  8 hr</v>
      </c>
      <c r="H48" s="500"/>
      <c r="I48" s="228"/>
      <c r="J48" s="228"/>
      <c r="K48" s="228"/>
      <c r="L48" s="228"/>
      <c r="M48" s="228"/>
      <c r="N48" s="228"/>
      <c r="O48" s="228"/>
      <c r="P48" s="228"/>
      <c r="Q48" s="228"/>
      <c r="R48" s="642"/>
      <c r="S48" s="643" t="s">
        <v>209</v>
      </c>
      <c r="T48" s="228"/>
      <c r="U48" s="230" t="s">
        <v>152</v>
      </c>
      <c r="V48" s="171"/>
    </row>
    <row r="49" spans="1:22" ht="6" customHeight="1">
      <c r="A49" s="391"/>
      <c r="B49" s="496"/>
      <c r="C49" s="496"/>
      <c r="D49" s="528"/>
      <c r="E49" s="528"/>
      <c r="F49" s="502"/>
      <c r="G49" s="497"/>
      <c r="H49" s="498"/>
      <c r="I49" s="496"/>
      <c r="J49" s="496"/>
      <c r="K49" s="496"/>
      <c r="L49" s="496"/>
      <c r="M49" s="496"/>
      <c r="N49" s="496"/>
      <c r="O49" s="496"/>
      <c r="P49" s="496"/>
      <c r="Q49" s="496"/>
      <c r="R49" s="499"/>
      <c r="S49" s="644"/>
      <c r="T49" s="499"/>
      <c r="U49" s="496"/>
      <c r="V49" s="171"/>
    </row>
    <row r="50" spans="1:22" ht="12.75">
      <c r="A50" s="391"/>
      <c r="B50" s="225" t="s">
        <v>284</v>
      </c>
      <c r="C50" s="226"/>
      <c r="D50" s="226"/>
      <c r="E50" s="527">
        <f>20*L2</f>
        <v>14.8</v>
      </c>
      <c r="F50" s="501" t="s">
        <v>199</v>
      </c>
      <c r="G50" s="523" t="str">
        <f>IF(G39&lt;"0,5","¿edad?",IF(G39="1","/  12 hr",IF(G39="2","/  8 hr",IF(G39="3","/  8 hr",IF(G39&gt;="4","/ 6 hr","**")))))</f>
        <v>/  8 hr</v>
      </c>
      <c r="H50" s="500"/>
      <c r="I50" s="228" t="s">
        <v>149</v>
      </c>
      <c r="J50" s="228"/>
      <c r="K50" s="228"/>
      <c r="L50" s="228"/>
      <c r="M50" s="228"/>
      <c r="N50" s="228"/>
      <c r="O50" s="228"/>
      <c r="P50" s="228"/>
      <c r="Q50" s="228"/>
      <c r="R50" s="642"/>
      <c r="S50" s="643" t="s">
        <v>209</v>
      </c>
      <c r="T50" s="228"/>
      <c r="U50" s="230" t="s">
        <v>153</v>
      </c>
      <c r="V50" s="171"/>
    </row>
    <row r="51" spans="1:22" ht="12.75">
      <c r="A51" s="391"/>
      <c r="B51" s="225" t="s">
        <v>285</v>
      </c>
      <c r="C51" s="226"/>
      <c r="D51" s="226"/>
      <c r="E51" s="527">
        <f>20*L2</f>
        <v>14.8</v>
      </c>
      <c r="F51" s="501" t="s">
        <v>199</v>
      </c>
      <c r="G51" s="523" t="str">
        <f>IF(G39&lt;"0,5","¿edad?",IF(G39="1","/  12 hr",IF(G39="2","/  12 hr",IF(G39="3","/  12 hr",IF(G39&gt;="4","/  8 hr","**")))))</f>
        <v>/  12 hr</v>
      </c>
      <c r="H51" s="500"/>
      <c r="I51" s="228" t="s">
        <v>150</v>
      </c>
      <c r="J51" s="228"/>
      <c r="K51" s="228"/>
      <c r="L51" s="228"/>
      <c r="M51" s="228"/>
      <c r="N51" s="228"/>
      <c r="O51" s="228"/>
      <c r="P51" s="228"/>
      <c r="Q51" s="228"/>
      <c r="R51" s="642"/>
      <c r="S51" s="643" t="s">
        <v>208</v>
      </c>
      <c r="T51" s="228"/>
      <c r="U51" s="230" t="s">
        <v>153</v>
      </c>
      <c r="V51" s="171"/>
    </row>
    <row r="52" spans="1:22" ht="12.75">
      <c r="A52" s="391"/>
      <c r="B52" s="225" t="s">
        <v>286</v>
      </c>
      <c r="C52" s="226"/>
      <c r="D52" s="226"/>
      <c r="E52" s="527">
        <f>50*L2</f>
        <v>37</v>
      </c>
      <c r="F52" s="501" t="s">
        <v>199</v>
      </c>
      <c r="G52" s="523" t="s">
        <v>190</v>
      </c>
      <c r="H52" s="500"/>
      <c r="I52" s="228" t="s">
        <v>154</v>
      </c>
      <c r="J52" s="228"/>
      <c r="K52" s="228"/>
      <c r="L52" s="228"/>
      <c r="M52" s="228"/>
      <c r="N52" s="228"/>
      <c r="O52" s="228"/>
      <c r="P52" s="228"/>
      <c r="Q52" s="228"/>
      <c r="R52" s="642"/>
      <c r="S52" s="643" t="s">
        <v>208</v>
      </c>
      <c r="T52" s="228"/>
      <c r="U52" s="230" t="s">
        <v>151</v>
      </c>
      <c r="V52" s="171"/>
    </row>
    <row r="53" spans="1:22" ht="12.75">
      <c r="A53" s="391"/>
      <c r="B53" s="225" t="s">
        <v>287</v>
      </c>
      <c r="C53" s="226"/>
      <c r="D53" s="226"/>
      <c r="E53" s="527">
        <f>30*L2</f>
        <v>22.2</v>
      </c>
      <c r="F53" s="501" t="s">
        <v>199</v>
      </c>
      <c r="G53" s="523" t="str">
        <f>IF(G39&lt;"0,5","¿edad?",IF(G39="1","/  12 hr",IF(G39="2","/  8 hr",IF(G39="3","/  12 hr",IF(G39&gt;="4","/  8 hr","**")))))</f>
        <v>/  8 hr</v>
      </c>
      <c r="H53" s="500"/>
      <c r="I53" s="228" t="s">
        <v>149</v>
      </c>
      <c r="J53" s="228"/>
      <c r="K53" s="228"/>
      <c r="L53" s="226"/>
      <c r="M53" s="226"/>
      <c r="N53" s="226"/>
      <c r="O53" s="226"/>
      <c r="P53" s="226"/>
      <c r="Q53" s="226"/>
      <c r="R53" s="642"/>
      <c r="S53" s="643" t="s">
        <v>208</v>
      </c>
      <c r="T53" s="228"/>
      <c r="U53" s="230" t="s">
        <v>152</v>
      </c>
      <c r="V53" s="171"/>
    </row>
    <row r="54" spans="1:22" ht="12.75">
      <c r="A54" s="391"/>
      <c r="B54" s="225" t="s">
        <v>288</v>
      </c>
      <c r="C54" s="226"/>
      <c r="D54" s="226"/>
      <c r="E54" s="527">
        <f>50*L2</f>
        <v>37</v>
      </c>
      <c r="F54" s="501" t="s">
        <v>199</v>
      </c>
      <c r="G54" s="523" t="s">
        <v>189</v>
      </c>
      <c r="H54" s="500"/>
      <c r="I54" s="228" t="s">
        <v>239</v>
      </c>
      <c r="J54" s="228"/>
      <c r="K54" s="228"/>
      <c r="L54" s="226"/>
      <c r="M54" s="226"/>
      <c r="N54" s="226"/>
      <c r="O54" s="226"/>
      <c r="P54" s="226"/>
      <c r="Q54" s="226"/>
      <c r="R54" s="642"/>
      <c r="S54" s="643" t="s">
        <v>209</v>
      </c>
      <c r="T54" s="228"/>
      <c r="U54" s="230" t="s">
        <v>151</v>
      </c>
      <c r="V54" s="171"/>
    </row>
    <row r="55" spans="1:22" ht="12.75">
      <c r="A55" s="391"/>
      <c r="B55" s="225" t="s">
        <v>289</v>
      </c>
      <c r="C55" s="226"/>
      <c r="D55" s="226"/>
      <c r="E55" s="527">
        <f>50*L2</f>
        <v>37</v>
      </c>
      <c r="F55" s="501" t="s">
        <v>199</v>
      </c>
      <c r="G55" s="523" t="str">
        <f>IF(G39&lt;"0,5","¿edad?",IF(G39="1","/  12 hr",IF(G39="2","/  8 hr",IF(G39="3","/  12 hr",IF(G39&gt;="4","/  8 hr","**")))))</f>
        <v>/  8 hr</v>
      </c>
      <c r="H55" s="500"/>
      <c r="I55" s="228" t="s">
        <v>12</v>
      </c>
      <c r="J55" s="228"/>
      <c r="K55" s="228"/>
      <c r="L55" s="226"/>
      <c r="M55" s="226"/>
      <c r="N55" s="226"/>
      <c r="O55" s="226"/>
      <c r="P55" s="226"/>
      <c r="Q55" s="226"/>
      <c r="R55" s="642"/>
      <c r="S55" s="643" t="s">
        <v>209</v>
      </c>
      <c r="T55" s="228"/>
      <c r="U55" s="230" t="s">
        <v>151</v>
      </c>
      <c r="V55" s="171"/>
    </row>
    <row r="56" spans="1:22" ht="12.75">
      <c r="A56" s="391"/>
      <c r="B56" s="225" t="s">
        <v>40</v>
      </c>
      <c r="C56" s="226"/>
      <c r="D56" s="226"/>
      <c r="E56" s="527">
        <f>50*L2</f>
        <v>37</v>
      </c>
      <c r="F56" s="501" t="s">
        <v>199</v>
      </c>
      <c r="G56" s="523" t="str">
        <f>IF(G39&lt;"0,5","¿edad?",IF(G39="1","/  12 hr",IF(G39="2","/  8 hr",IF(G39="3","/  12 hr",IF(G39&gt;="4","/  8 hr","**")))))</f>
        <v>/  8 hr</v>
      </c>
      <c r="H56" s="500"/>
      <c r="I56" s="228"/>
      <c r="J56" s="228"/>
      <c r="K56" s="228"/>
      <c r="L56" s="226"/>
      <c r="M56" s="226"/>
      <c r="N56" s="226"/>
      <c r="O56" s="226"/>
      <c r="P56" s="226"/>
      <c r="Q56" s="226"/>
      <c r="R56" s="642"/>
      <c r="S56" s="643" t="s">
        <v>209</v>
      </c>
      <c r="T56" s="228"/>
      <c r="U56" s="230" t="s">
        <v>151</v>
      </c>
      <c r="V56" s="171"/>
    </row>
    <row r="57" spans="1:22" ht="6" customHeight="1">
      <c r="A57" s="391"/>
      <c r="B57" s="496"/>
      <c r="C57" s="496"/>
      <c r="D57" s="528"/>
      <c r="E57" s="528"/>
      <c r="F57" s="502"/>
      <c r="G57" s="497"/>
      <c r="H57" s="498"/>
      <c r="I57" s="496"/>
      <c r="J57" s="496"/>
      <c r="K57" s="496"/>
      <c r="L57" s="496"/>
      <c r="M57" s="496"/>
      <c r="N57" s="496"/>
      <c r="O57" s="496"/>
      <c r="P57" s="496"/>
      <c r="Q57" s="496"/>
      <c r="R57" s="499"/>
      <c r="S57" s="644"/>
      <c r="T57" s="499"/>
      <c r="U57" s="496"/>
      <c r="V57" s="171"/>
    </row>
    <row r="58" spans="1:22" ht="12.75">
      <c r="A58" s="391"/>
      <c r="B58" s="225" t="s">
        <v>38</v>
      </c>
      <c r="C58" s="226"/>
      <c r="D58" s="226"/>
      <c r="E58" s="527">
        <f>25*L2</f>
        <v>18.5</v>
      </c>
      <c r="F58" s="501" t="s">
        <v>199</v>
      </c>
      <c r="G58" s="523" t="str">
        <f>IF(G39&lt;"0,5","¿edad?",IF(G39="1","/  12 hr",IF(G39="2","/  8 hr",IF(G39="3","/  12 hr",IF(G39&gt;="4","/  8 hr","**")))))</f>
        <v>/  8 hr</v>
      </c>
      <c r="H58" s="500"/>
      <c r="I58" s="228" t="s">
        <v>172</v>
      </c>
      <c r="J58" s="228"/>
      <c r="K58" s="228"/>
      <c r="L58" s="226"/>
      <c r="M58" s="226"/>
      <c r="N58" s="226"/>
      <c r="O58" s="226"/>
      <c r="P58" s="226"/>
      <c r="Q58" s="226"/>
      <c r="R58" s="642"/>
      <c r="S58" s="643" t="s">
        <v>209</v>
      </c>
      <c r="T58" s="228"/>
      <c r="U58" s="230" t="s">
        <v>230</v>
      </c>
      <c r="V58" s="171"/>
    </row>
    <row r="59" spans="1:22" ht="6" customHeight="1">
      <c r="A59" s="391"/>
      <c r="B59" s="496"/>
      <c r="C59" s="496"/>
      <c r="D59" s="528"/>
      <c r="E59" s="528"/>
      <c r="F59" s="502"/>
      <c r="G59" s="497"/>
      <c r="H59" s="498"/>
      <c r="I59" s="496"/>
      <c r="J59" s="496"/>
      <c r="K59" s="496"/>
      <c r="L59" s="496"/>
      <c r="M59" s="496"/>
      <c r="N59" s="496"/>
      <c r="O59" s="496"/>
      <c r="P59" s="496"/>
      <c r="Q59" s="496"/>
      <c r="R59" s="499"/>
      <c r="S59" s="644"/>
      <c r="T59" s="499"/>
      <c r="U59" s="496"/>
      <c r="V59" s="171"/>
    </row>
    <row r="60" spans="1:22" ht="12.75">
      <c r="A60" s="391"/>
      <c r="B60" s="225" t="s">
        <v>39</v>
      </c>
      <c r="C60" s="226"/>
      <c r="D60" s="226"/>
      <c r="E60" s="527">
        <f>10*L2</f>
        <v>7.4</v>
      </c>
      <c r="F60" s="501" t="s">
        <v>199</v>
      </c>
      <c r="G60" s="523" t="str">
        <f>IF(G39&lt;"0,5","¿edad?",IF(G39="1","/  12 hr",IF(G39="2","/  8 hr",IF(G39="3","/  8 hr",IF(G39&gt;="4","/ 6 hr","**")))))</f>
        <v>/  8 hr</v>
      </c>
      <c r="H60" s="500"/>
      <c r="I60" s="228" t="s">
        <v>59</v>
      </c>
      <c r="J60" s="228"/>
      <c r="K60" s="228"/>
      <c r="L60" s="226"/>
      <c r="M60" s="226"/>
      <c r="N60" s="226"/>
      <c r="O60" s="226"/>
      <c r="P60" s="226"/>
      <c r="Q60" s="226"/>
      <c r="R60" s="642"/>
      <c r="S60" s="643"/>
      <c r="T60" s="228"/>
      <c r="U60" s="230" t="s">
        <v>155</v>
      </c>
      <c r="V60" s="171"/>
    </row>
    <row r="61" spans="1:22" ht="3.75" customHeight="1">
      <c r="A61" s="391"/>
      <c r="B61" s="496"/>
      <c r="C61" s="496"/>
      <c r="D61" s="528"/>
      <c r="E61" s="528"/>
      <c r="F61" s="502"/>
      <c r="G61" s="497"/>
      <c r="H61" s="498"/>
      <c r="I61" s="496"/>
      <c r="J61" s="496"/>
      <c r="K61" s="496"/>
      <c r="L61" s="496"/>
      <c r="M61" s="496"/>
      <c r="N61" s="496"/>
      <c r="O61" s="496"/>
      <c r="P61" s="496"/>
      <c r="Q61" s="496"/>
      <c r="R61" s="499"/>
      <c r="S61" s="644"/>
      <c r="T61" s="499"/>
      <c r="U61" s="496"/>
      <c r="V61" s="171"/>
    </row>
    <row r="62" spans="1:22" ht="12.75">
      <c r="A62" s="391"/>
      <c r="B62" s="225" t="s">
        <v>290</v>
      </c>
      <c r="C62" s="226"/>
      <c r="D62" s="226"/>
      <c r="E62" s="527">
        <f>5*L2</f>
        <v>3.7</v>
      </c>
      <c r="F62" s="501" t="s">
        <v>199</v>
      </c>
      <c r="G62" s="523" t="str">
        <f>IF(G39&lt;"0,5","¿edad?",IF(G39="1","/  12 hr",IF(G39="2","/  8 hr",IF(G39="3","/  8 hr",IF(G39&gt;="4","/ 6 hr","**")))))</f>
        <v>/  8 hr</v>
      </c>
      <c r="H62" s="500"/>
      <c r="I62" s="228" t="s">
        <v>76</v>
      </c>
      <c r="J62" s="228"/>
      <c r="K62" s="228"/>
      <c r="L62" s="226"/>
      <c r="M62" s="226"/>
      <c r="N62" s="226"/>
      <c r="O62" s="226"/>
      <c r="P62" s="226"/>
      <c r="Q62" s="226"/>
      <c r="R62" s="642"/>
      <c r="S62" s="643"/>
      <c r="T62" s="228"/>
      <c r="U62" s="230" t="s">
        <v>156</v>
      </c>
      <c r="V62" s="171"/>
    </row>
    <row r="63" spans="1:22" ht="3.75" customHeight="1">
      <c r="A63" s="391"/>
      <c r="B63" s="496"/>
      <c r="C63" s="496"/>
      <c r="D63" s="528"/>
      <c r="E63" s="528"/>
      <c r="F63" s="502"/>
      <c r="G63" s="497"/>
      <c r="H63" s="498"/>
      <c r="I63" s="496"/>
      <c r="J63" s="496"/>
      <c r="K63" s="496"/>
      <c r="L63" s="496"/>
      <c r="M63" s="496"/>
      <c r="N63" s="496"/>
      <c r="O63" s="496"/>
      <c r="P63" s="496"/>
      <c r="Q63" s="496"/>
      <c r="R63" s="499"/>
      <c r="S63" s="644"/>
      <c r="T63" s="499"/>
      <c r="U63" s="496"/>
      <c r="V63" s="171"/>
    </row>
    <row r="64" spans="1:22" ht="12.75">
      <c r="A64" s="391"/>
      <c r="B64" s="225" t="s">
        <v>43</v>
      </c>
      <c r="C64" s="226"/>
      <c r="D64" s="226"/>
      <c r="E64" s="527">
        <f>IF(G39="4",15*L2,7.5*L2)</f>
        <v>5.55</v>
      </c>
      <c r="F64" s="501" t="s">
        <v>199</v>
      </c>
      <c r="G64" s="523" t="s">
        <v>191</v>
      </c>
      <c r="H64" s="500"/>
      <c r="I64" s="228" t="s">
        <v>77</v>
      </c>
      <c r="J64" s="228"/>
      <c r="K64" s="228"/>
      <c r="L64" s="226"/>
      <c r="M64" s="226"/>
      <c r="N64" s="226"/>
      <c r="O64" s="226"/>
      <c r="P64" s="226"/>
      <c r="Q64" s="226"/>
      <c r="R64" s="642"/>
      <c r="S64" s="643"/>
      <c r="T64" s="228"/>
      <c r="U64" s="230" t="s">
        <v>356</v>
      </c>
      <c r="V64" s="171"/>
    </row>
    <row r="65" spans="1:22" ht="3.75" customHeight="1">
      <c r="A65" s="391"/>
      <c r="B65" s="496"/>
      <c r="C65" s="496"/>
      <c r="D65" s="528"/>
      <c r="E65" s="528"/>
      <c r="F65" s="502"/>
      <c r="G65" s="497"/>
      <c r="H65" s="498"/>
      <c r="I65" s="496"/>
      <c r="J65" s="496"/>
      <c r="K65" s="496"/>
      <c r="L65" s="496"/>
      <c r="M65" s="496"/>
      <c r="N65" s="496"/>
      <c r="O65" s="496"/>
      <c r="P65" s="496"/>
      <c r="Q65" s="496"/>
      <c r="R65" s="499"/>
      <c r="S65" s="644"/>
      <c r="T65" s="499"/>
      <c r="U65" s="496"/>
      <c r="V65" s="171"/>
    </row>
    <row r="66" spans="1:22" ht="12.75">
      <c r="A66" s="391"/>
      <c r="B66" s="225" t="s">
        <v>44</v>
      </c>
      <c r="C66" s="226"/>
      <c r="D66" s="226"/>
      <c r="E66" s="527">
        <f>2.5*L2</f>
        <v>1.85</v>
      </c>
      <c r="F66" s="501" t="s">
        <v>199</v>
      </c>
      <c r="G66" s="523" t="str">
        <f>IF(L2&lt;1.5,"/  24 hr",IF(L2&lt;2.01,"/  18 hr",IF(G39="3","/  12 hr",IF(G39="4","/  8 hr","¿edad?"))))</f>
        <v>/  24 hr</v>
      </c>
      <c r="H66" s="500"/>
      <c r="I66" s="228" t="s">
        <v>58</v>
      </c>
      <c r="J66" s="228"/>
      <c r="K66" s="228"/>
      <c r="L66" s="226"/>
      <c r="M66" s="226"/>
      <c r="N66" s="226"/>
      <c r="O66" s="226"/>
      <c r="P66" s="226"/>
      <c r="Q66" s="226"/>
      <c r="R66" s="728" t="s">
        <v>211</v>
      </c>
      <c r="S66" s="643" t="s">
        <v>210</v>
      </c>
      <c r="T66" s="228"/>
      <c r="U66" s="230" t="s">
        <v>13</v>
      </c>
      <c r="V66" s="171"/>
    </row>
    <row r="67" spans="1:22" ht="12.75">
      <c r="A67" s="391"/>
      <c r="B67" s="225" t="s">
        <v>45</v>
      </c>
      <c r="C67" s="226"/>
      <c r="D67" s="226"/>
      <c r="E67" s="741">
        <f>2.5*L2</f>
        <v>1.85</v>
      </c>
      <c r="F67" s="501" t="s">
        <v>199</v>
      </c>
      <c r="G67" s="523" t="str">
        <f>IF(L2&lt;1.5,"/  24 hr",IF(L2&lt;2.01,"/  18 hr",IF(G39="3","/  12 hr",IF(G39="4","/  8 hr","¿edad?"))))</f>
        <v>/  24 hr</v>
      </c>
      <c r="H67" s="500"/>
      <c r="I67" s="228" t="s">
        <v>75</v>
      </c>
      <c r="J67" s="228"/>
      <c r="K67" s="228"/>
      <c r="L67" s="226"/>
      <c r="M67" s="226"/>
      <c r="N67" s="226"/>
      <c r="O67" s="226"/>
      <c r="P67" s="226"/>
      <c r="Q67" s="226"/>
      <c r="R67" s="728" t="s">
        <v>211</v>
      </c>
      <c r="S67" s="643" t="s">
        <v>210</v>
      </c>
      <c r="T67" s="228"/>
      <c r="U67" s="230" t="s">
        <v>13</v>
      </c>
      <c r="V67" s="171"/>
    </row>
    <row r="68" spans="1:22" ht="12.75">
      <c r="A68" s="391"/>
      <c r="B68" s="225" t="s">
        <v>46</v>
      </c>
      <c r="C68" s="226"/>
      <c r="D68" s="226"/>
      <c r="E68" s="741">
        <f>IF(G39&lt;"0,5","¿edad?",IF(G39="1",7.5*L2,IF(G39="2",7.5*L2,IF(G39="3",10*L2,IF(G39&gt;="4",10*L2,"**")))))</f>
        <v>5.55</v>
      </c>
      <c r="F68" s="501" t="s">
        <v>199</v>
      </c>
      <c r="G68" s="523" t="str">
        <f>IF(L2&lt;1.2,"/  24 hr",IF(G39="1","/  18 hr",IF(G39="2","/  12 hr",IF(G39="3","/  12 hr",IF(G39&gt;="4","/  8 hr","¿edad?")))))</f>
        <v>/  24 hr</v>
      </c>
      <c r="H68" s="500"/>
      <c r="I68" s="228" t="s">
        <v>75</v>
      </c>
      <c r="J68" s="228"/>
      <c r="K68" s="228"/>
      <c r="L68" s="226"/>
      <c r="M68" s="226"/>
      <c r="N68" s="226"/>
      <c r="O68" s="226"/>
      <c r="P68" s="226"/>
      <c r="Q68" s="226"/>
      <c r="R68" s="728" t="s">
        <v>211</v>
      </c>
      <c r="S68" s="643" t="s">
        <v>210</v>
      </c>
      <c r="T68" s="228"/>
      <c r="U68" s="230" t="s">
        <v>357</v>
      </c>
      <c r="V68" s="171"/>
    </row>
    <row r="69" spans="1:22" ht="6" customHeight="1">
      <c r="A69" s="391"/>
      <c r="B69" s="496"/>
      <c r="C69" s="496"/>
      <c r="D69" s="528"/>
      <c r="E69" s="528"/>
      <c r="F69" s="502"/>
      <c r="G69" s="497"/>
      <c r="H69" s="498"/>
      <c r="I69" s="496"/>
      <c r="J69" s="496"/>
      <c r="K69" s="496"/>
      <c r="L69" s="496"/>
      <c r="M69" s="496"/>
      <c r="N69" s="496"/>
      <c r="O69" s="496"/>
      <c r="P69" s="496"/>
      <c r="Q69" s="496"/>
      <c r="R69" s="727"/>
      <c r="S69" s="644"/>
      <c r="T69" s="499"/>
      <c r="U69" s="496"/>
      <c r="V69" s="171"/>
    </row>
    <row r="70" spans="1:22" ht="12.75">
      <c r="A70" s="391"/>
      <c r="B70" s="225" t="s">
        <v>322</v>
      </c>
      <c r="C70" s="226"/>
      <c r="D70" s="226"/>
      <c r="E70" s="527">
        <f>IF(L2="","",IF(L2&lt;1,15*L2,10*L2))</f>
        <v>11.1</v>
      </c>
      <c r="F70" s="501" t="s">
        <v>199</v>
      </c>
      <c r="G70" s="523" t="str">
        <f>IF(L2&lt;1,"/  24 hr",IF(G39="1","/  18 hr",IF(G39="2","/  12 hr",IF(G39="3","/  12 hr",IF(G39&gt;="4","/  8 hr","¿edad?")))))</f>
        <v>/  24 hr</v>
      </c>
      <c r="H70" s="500"/>
      <c r="I70" s="228" t="s">
        <v>78</v>
      </c>
      <c r="J70" s="228"/>
      <c r="K70" s="228"/>
      <c r="L70" s="226"/>
      <c r="M70" s="226"/>
      <c r="N70" s="226"/>
      <c r="O70" s="226"/>
      <c r="P70" s="226"/>
      <c r="Q70" s="226"/>
      <c r="R70" s="728" t="s">
        <v>211</v>
      </c>
      <c r="S70" s="643" t="s">
        <v>210</v>
      </c>
      <c r="T70" s="228"/>
      <c r="U70" s="230" t="s">
        <v>358</v>
      </c>
      <c r="V70" s="171"/>
    </row>
    <row r="71" spans="1:22" ht="12.75">
      <c r="A71" s="391"/>
      <c r="B71" s="225" t="s">
        <v>324</v>
      </c>
      <c r="C71" s="226"/>
      <c r="D71" s="226"/>
      <c r="E71" s="527">
        <f>16*L2</f>
        <v>11.84</v>
      </c>
      <c r="F71" s="501" t="s">
        <v>199</v>
      </c>
      <c r="G71" s="500" t="s">
        <v>64</v>
      </c>
      <c r="H71" s="500"/>
      <c r="I71" s="501"/>
      <c r="J71" s="501"/>
      <c r="K71" s="501"/>
      <c r="M71" s="573">
        <f>8*L2</f>
        <v>5.92</v>
      </c>
      <c r="N71" s="197" t="s">
        <v>108</v>
      </c>
      <c r="O71" s="197"/>
      <c r="R71" s="728"/>
      <c r="S71" s="643"/>
      <c r="T71" s="228"/>
      <c r="U71" s="230"/>
      <c r="V71" s="171"/>
    </row>
    <row r="72" spans="1:22" ht="5.25" customHeight="1">
      <c r="A72" s="390"/>
      <c r="B72" s="495"/>
      <c r="C72" s="496"/>
      <c r="D72" s="496"/>
      <c r="E72" s="528"/>
      <c r="F72" s="528"/>
      <c r="G72" s="571"/>
      <c r="H72" s="497"/>
      <c r="I72" s="498"/>
      <c r="J72" s="498"/>
      <c r="K72" s="498"/>
      <c r="L72" s="496"/>
      <c r="M72" s="496"/>
      <c r="N72" s="496"/>
      <c r="O72" s="496"/>
      <c r="P72" s="496"/>
      <c r="Q72" s="496"/>
      <c r="R72" s="496"/>
      <c r="S72" s="498"/>
      <c r="T72" s="498"/>
      <c r="U72" s="499"/>
      <c r="V72" s="390"/>
    </row>
    <row r="73" spans="1:22" s="520" customFormat="1" ht="11.25" customHeight="1">
      <c r="A73" s="515"/>
      <c r="B73" s="516" t="s">
        <v>65</v>
      </c>
      <c r="C73" s="517"/>
      <c r="D73" s="517"/>
      <c r="E73" s="343"/>
      <c r="F73" s="343" t="s">
        <v>331</v>
      </c>
      <c r="G73" s="343"/>
      <c r="H73" s="503"/>
      <c r="I73" s="514" t="s">
        <v>212</v>
      </c>
      <c r="J73" s="514"/>
      <c r="K73" s="507"/>
      <c r="L73" s="342" t="s">
        <v>233</v>
      </c>
      <c r="M73" s="343"/>
      <c r="N73" s="503"/>
      <c r="O73" s="343" t="s">
        <v>91</v>
      </c>
      <c r="P73" s="343"/>
      <c r="Q73" s="343"/>
      <c r="R73" s="518"/>
      <c r="S73" s="514" t="s">
        <v>234</v>
      </c>
      <c r="T73" s="514"/>
      <c r="U73" s="519"/>
      <c r="V73" s="172"/>
    </row>
    <row r="74" spans="1:22" ht="12.75">
      <c r="A74" s="391"/>
      <c r="B74" s="225" t="s">
        <v>323</v>
      </c>
      <c r="C74" s="226"/>
      <c r="D74" s="226"/>
      <c r="E74" s="504"/>
      <c r="F74" s="508" t="s">
        <v>333</v>
      </c>
      <c r="G74" s="509"/>
      <c r="H74" s="510"/>
      <c r="I74" s="572"/>
      <c r="J74" s="508" t="s">
        <v>333</v>
      </c>
      <c r="K74" s="505"/>
      <c r="L74" s="511"/>
      <c r="M74" s="508" t="s">
        <v>333</v>
      </c>
      <c r="N74" s="510"/>
      <c r="O74" s="509"/>
      <c r="P74" s="508" t="s">
        <v>92</v>
      </c>
      <c r="Q74" s="509"/>
      <c r="R74" s="510"/>
      <c r="S74" s="509"/>
      <c r="T74" s="509"/>
      <c r="U74" s="512"/>
      <c r="V74" s="171"/>
    </row>
    <row r="75" spans="1:22" ht="12.75">
      <c r="A75" s="391"/>
      <c r="B75" s="225"/>
      <c r="C75" s="226" t="s">
        <v>195</v>
      </c>
      <c r="D75" s="226"/>
      <c r="E75" s="563">
        <f>0.1*L2</f>
        <v>0.074</v>
      </c>
      <c r="F75" s="522" t="s">
        <v>332</v>
      </c>
      <c r="G75" s="641">
        <f>0.25*L2</f>
        <v>0.185</v>
      </c>
      <c r="H75" s="229"/>
      <c r="I75" s="650">
        <f>0.1*L2</f>
        <v>0.074</v>
      </c>
      <c r="J75" s="522" t="s">
        <v>332</v>
      </c>
      <c r="K75" s="641">
        <f>0.25*L2</f>
        <v>0.185</v>
      </c>
      <c r="L75" s="563">
        <f>0.6*L2</f>
        <v>0.444</v>
      </c>
      <c r="M75" s="522" t="s">
        <v>332</v>
      </c>
      <c r="N75" s="524">
        <f>L2</f>
        <v>0.74</v>
      </c>
      <c r="O75" s="560">
        <f>20*L2</f>
        <v>14.8</v>
      </c>
      <c r="P75" s="522" t="s">
        <v>332</v>
      </c>
      <c r="Q75" s="641">
        <f>25*L2</f>
        <v>18.5</v>
      </c>
      <c r="R75" s="229"/>
      <c r="S75" s="228" t="s">
        <v>93</v>
      </c>
      <c r="T75" s="228"/>
      <c r="U75" s="230"/>
      <c r="V75" s="171"/>
    </row>
    <row r="76" spans="1:22" ht="12.75">
      <c r="A76" s="391"/>
      <c r="B76" s="225"/>
      <c r="C76" s="226" t="s">
        <v>196</v>
      </c>
      <c r="D76" s="226"/>
      <c r="E76" s="525"/>
      <c r="F76" s="775">
        <f>L2</f>
        <v>0.74</v>
      </c>
      <c r="G76" s="776"/>
      <c r="H76" s="226"/>
      <c r="I76" s="777">
        <f>L2</f>
        <v>0.74</v>
      </c>
      <c r="J76" s="778"/>
      <c r="K76" s="779"/>
      <c r="L76" s="521"/>
      <c r="M76" s="573">
        <f>3*L2</f>
        <v>2.2199999999999998</v>
      </c>
      <c r="N76" s="524"/>
      <c r="O76" s="527">
        <f>20*L2</f>
        <v>14.8</v>
      </c>
      <c r="P76" s="522" t="s">
        <v>332</v>
      </c>
      <c r="Q76" s="641">
        <f>25*L2</f>
        <v>18.5</v>
      </c>
      <c r="R76" s="526"/>
      <c r="S76" s="506" t="s">
        <v>55</v>
      </c>
      <c r="T76" s="228"/>
      <c r="U76" s="230"/>
      <c r="V76" s="171"/>
    </row>
    <row r="77" spans="1:22" ht="9.75" customHeight="1">
      <c r="A77" s="391"/>
      <c r="B77" s="171"/>
      <c r="C77" s="171"/>
      <c r="D77" s="171"/>
      <c r="E77" s="171"/>
      <c r="F77" s="171"/>
      <c r="G77" s="171"/>
      <c r="H77" s="168"/>
      <c r="I77" s="171"/>
      <c r="J77" s="171"/>
      <c r="K77" s="171"/>
      <c r="L77" s="171"/>
      <c r="M77" s="171"/>
      <c r="N77" s="171"/>
      <c r="O77" s="171"/>
      <c r="P77" s="171"/>
      <c r="Q77" s="171"/>
      <c r="R77" s="171"/>
      <c r="S77" s="171"/>
      <c r="T77" s="171"/>
      <c r="U77" s="171"/>
      <c r="V77" s="171"/>
    </row>
    <row r="78" spans="1:22" ht="12.75">
      <c r="A78" s="391"/>
      <c r="B78" s="225" t="s">
        <v>41</v>
      </c>
      <c r="C78" s="226"/>
      <c r="D78" s="226"/>
      <c r="E78" s="527">
        <f>10*L2</f>
        <v>7.4</v>
      </c>
      <c r="F78" s="501" t="s">
        <v>199</v>
      </c>
      <c r="G78" s="523" t="s">
        <v>128</v>
      </c>
      <c r="H78" s="500"/>
      <c r="I78" s="228" t="s">
        <v>157</v>
      </c>
      <c r="J78" s="228"/>
      <c r="K78" s="228"/>
      <c r="L78" s="226"/>
      <c r="M78" s="226"/>
      <c r="N78" s="226"/>
      <c r="O78" s="226"/>
      <c r="P78" s="226"/>
      <c r="Q78" s="226"/>
      <c r="R78" s="229"/>
      <c r="S78" s="228"/>
      <c r="T78" s="228"/>
      <c r="U78" s="230" t="s">
        <v>155</v>
      </c>
      <c r="V78" s="171"/>
    </row>
    <row r="79" spans="1:22" ht="3" customHeight="1">
      <c r="A79" s="391"/>
      <c r="B79" s="496"/>
      <c r="C79" s="496"/>
      <c r="D79" s="528"/>
      <c r="E79" s="528"/>
      <c r="F79" s="502"/>
      <c r="G79" s="497"/>
      <c r="H79" s="498"/>
      <c r="I79" s="496"/>
      <c r="J79" s="496"/>
      <c r="K79" s="496"/>
      <c r="L79" s="496"/>
      <c r="M79" s="496"/>
      <c r="N79" s="496"/>
      <c r="O79" s="496"/>
      <c r="P79" s="496"/>
      <c r="Q79" s="496"/>
      <c r="R79" s="498"/>
      <c r="S79" s="498"/>
      <c r="T79" s="499"/>
      <c r="U79" s="496"/>
      <c r="V79" s="171"/>
    </row>
    <row r="80" spans="1:22" ht="12">
      <c r="A80" s="391"/>
      <c r="B80" s="347" t="s">
        <v>54</v>
      </c>
      <c r="C80" s="226"/>
      <c r="D80" s="226"/>
      <c r="E80" s="527">
        <f>L2*15</f>
        <v>11.1</v>
      </c>
      <c r="F80" s="501" t="s">
        <v>199</v>
      </c>
      <c r="G80" s="513" t="s">
        <v>192</v>
      </c>
      <c r="H80" s="772">
        <f>E80/100</f>
        <v>0.111</v>
      </c>
      <c r="I80" s="773"/>
      <c r="J80" s="523" t="s">
        <v>193</v>
      </c>
      <c r="K80" s="226" t="s">
        <v>60</v>
      </c>
      <c r="L80" s="226"/>
      <c r="M80" s="226"/>
      <c r="N80" s="226"/>
      <c r="O80" s="226"/>
      <c r="P80" s="226"/>
      <c r="Q80" s="226"/>
      <c r="R80" s="229"/>
      <c r="S80" s="228"/>
      <c r="T80" s="228"/>
      <c r="U80" s="230" t="s">
        <v>194</v>
      </c>
      <c r="V80" s="171"/>
    </row>
    <row r="81" spans="1:22" ht="6" customHeight="1">
      <c r="A81" s="391"/>
      <c r="B81" s="583"/>
      <c r="C81" s="583"/>
      <c r="D81" s="584"/>
      <c r="E81" s="584"/>
      <c r="F81" s="585"/>
      <c r="G81" s="586"/>
      <c r="H81" s="587"/>
      <c r="I81" s="583"/>
      <c r="J81" s="583"/>
      <c r="K81" s="583"/>
      <c r="L81" s="583"/>
      <c r="M81" s="583"/>
      <c r="N81" s="583"/>
      <c r="O81" s="583"/>
      <c r="P81" s="583"/>
      <c r="Q81" s="583"/>
      <c r="R81" s="587"/>
      <c r="S81" s="587"/>
      <c r="T81" s="588"/>
      <c r="U81" s="583"/>
      <c r="V81" s="171"/>
    </row>
    <row r="82" spans="1:22" s="20" customFormat="1" ht="12">
      <c r="A82" s="390"/>
      <c r="B82" s="390"/>
      <c r="C82" s="589"/>
      <c r="D82" s="589"/>
      <c r="E82" s="590"/>
      <c r="F82" s="591"/>
      <c r="G82" s="592"/>
      <c r="H82" s="390"/>
      <c r="I82" s="390"/>
      <c r="J82" s="390"/>
      <c r="K82" s="390"/>
      <c r="L82" s="390"/>
      <c r="M82" s="593"/>
      <c r="N82" s="593"/>
      <c r="O82" s="593"/>
      <c r="P82" s="593"/>
      <c r="Q82" s="390"/>
      <c r="R82" s="390"/>
      <c r="S82" s="390"/>
      <c r="T82" s="390"/>
      <c r="U82" s="390"/>
      <c r="V82" s="390"/>
    </row>
    <row r="83" spans="1:22" ht="12">
      <c r="A83" s="390"/>
      <c r="B83" s="390"/>
      <c r="C83" s="390"/>
      <c r="D83" s="390"/>
      <c r="E83" s="390"/>
      <c r="F83" s="390"/>
      <c r="G83" s="390"/>
      <c r="H83" s="390"/>
      <c r="I83" s="390"/>
      <c r="J83" s="390"/>
      <c r="K83" s="390"/>
      <c r="L83" s="390"/>
      <c r="M83" s="390"/>
      <c r="N83" s="390"/>
      <c r="O83" s="390"/>
      <c r="P83" s="390"/>
      <c r="Q83" s="594"/>
      <c r="R83" s="594"/>
      <c r="S83" s="595"/>
      <c r="T83" s="596" t="s">
        <v>4</v>
      </c>
      <c r="U83" s="665" t="s">
        <v>109</v>
      </c>
      <c r="V83" s="390"/>
    </row>
    <row r="84" ht="12">
      <c r="H84" s="20"/>
    </row>
    <row r="85" ht="12">
      <c r="H85" s="20"/>
    </row>
    <row r="86" ht="12">
      <c r="H86" s="20"/>
    </row>
    <row r="87" ht="12">
      <c r="H87" s="20"/>
    </row>
    <row r="88" ht="12">
      <c r="H88" s="20"/>
    </row>
    <row r="89" ht="12">
      <c r="H89" s="20"/>
    </row>
    <row r="90" ht="12">
      <c r="H90" s="20"/>
    </row>
    <row r="91" ht="12">
      <c r="H91" s="20"/>
    </row>
    <row r="92" ht="12">
      <c r="H92" s="20"/>
    </row>
    <row r="93" ht="12">
      <c r="H93" s="20"/>
    </row>
    <row r="94" ht="12">
      <c r="H94" s="20"/>
    </row>
    <row r="95" ht="12">
      <c r="H95" s="20"/>
    </row>
    <row r="96" ht="12">
      <c r="H96" s="20"/>
    </row>
    <row r="97" ht="12">
      <c r="H97" s="20"/>
    </row>
    <row r="98" ht="12">
      <c r="H98" s="20"/>
    </row>
    <row r="99" ht="12">
      <c r="H99" s="20"/>
    </row>
    <row r="100" ht="12">
      <c r="H100" s="20"/>
    </row>
    <row r="101" ht="12">
      <c r="H101" s="20"/>
    </row>
    <row r="102" ht="12">
      <c r="H102" s="20"/>
    </row>
    <row r="103" ht="12">
      <c r="H103" s="20"/>
    </row>
    <row r="104" ht="12">
      <c r="H104" s="20"/>
    </row>
    <row r="105" ht="12">
      <c r="H105" s="20"/>
    </row>
  </sheetData>
  <sheetProtection password="CDDA" sheet="1" objects="1" scenarios="1"/>
  <mergeCells count="10">
    <mergeCell ref="S1:U1"/>
    <mergeCell ref="H80:I80"/>
    <mergeCell ref="L2:M2"/>
    <mergeCell ref="F76:G76"/>
    <mergeCell ref="I76:K76"/>
    <mergeCell ref="T40:U41"/>
    <mergeCell ref="B40:D41"/>
    <mergeCell ref="E40:F41"/>
    <mergeCell ref="G40:H41"/>
    <mergeCell ref="I40:N41"/>
  </mergeCells>
  <printOptions/>
  <pageMargins left="0.2362204724409449" right="0.07874015748031496" top="0.1968503937007874" bottom="0.07874015748031496" header="0" footer="0"/>
  <pageSetup fitToHeight="1" fitToWidth="1" horizontalDpi="300" verticalDpi="3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jabs</Manager>
  <Company>AlBalaSa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Neodosis</dc:title>
  <dc:subject>Calculador de fármacos y procedimientos neonatales </dc:subject>
  <dc:creator>J Albert Balaguer S.</dc:creator>
  <cp:keywords/>
  <dc:description/>
  <cp:lastModifiedBy>GameOver</cp:lastModifiedBy>
  <cp:lastPrinted>2001-11-16T13:51:43Z</cp:lastPrinted>
  <dcterms:created xsi:type="dcterms:W3CDTF">2001-01-03T11:34:41Z</dcterms:created>
  <dcterms:modified xsi:type="dcterms:W3CDTF">2006-07-30T20:28:06Z</dcterms:modified>
  <cp:category>versión 1.0</cp:category>
  <cp:version/>
  <cp:contentType/>
  <cp:contentStatus/>
</cp:coreProperties>
</file>